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316798ac3eb1a8/CBC/2026/Ranking 2026/PUBLICAÇÃO Estrada/"/>
    </mc:Choice>
  </mc:AlternateContent>
  <xr:revisionPtr revIDLastSave="26" documentId="8_{0C5D643D-0567-46E4-8771-3A717057DBD1}" xr6:coauthVersionLast="47" xr6:coauthVersionMax="47" xr10:uidLastSave="{80065A56-0DA4-4DE8-8170-229794DED3F1}"/>
  <bookViews>
    <workbookView xWindow="-108" yWindow="-108" windowWidth="23256" windowHeight="12456" tabRatio="839" xr2:uid="{93FAB38F-02CD-4165-98FF-874E83728259}"/>
  </bookViews>
  <sheets>
    <sheet name="MEL-S23" sheetId="28" r:id="rId1"/>
    <sheet name="FEL-F23" sheetId="29" r:id="rId2"/>
    <sheet name="MJR" sheetId="30" r:id="rId3"/>
    <sheet name="FJR" sheetId="31" r:id="rId4"/>
  </sheets>
  <definedNames>
    <definedName name="_xlnm._FilterDatabase" localSheetId="1" hidden="1">'FEL-F23'!$B$3:$Y$26</definedName>
    <definedName name="_xlnm._FilterDatabase" localSheetId="3" hidden="1">FJR!$B$3:$O$6</definedName>
    <definedName name="_xlnm._FilterDatabase" localSheetId="0" hidden="1">'MEL-S23'!$B$3:$AE$30</definedName>
    <definedName name="_xlnm._FilterDatabase" localSheetId="2" hidden="1">MJR!$B$3:$AB$24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1" l="1"/>
  <c r="F10" i="30"/>
  <c r="F4" i="30"/>
  <c r="F5" i="30"/>
  <c r="F6" i="30"/>
  <c r="F12" i="29"/>
  <c r="F6" i="29"/>
  <c r="F5" i="29"/>
  <c r="F10" i="28"/>
  <c r="F8" i="28"/>
  <c r="F5" i="28"/>
  <c r="F7" i="28"/>
  <c r="G8" i="30"/>
  <c r="G4" i="30"/>
  <c r="G13" i="28"/>
  <c r="G4" i="28"/>
  <c r="G5" i="28"/>
  <c r="G6" i="28"/>
  <c r="H8" i="30"/>
  <c r="H4" i="30"/>
  <c r="G16" i="29"/>
  <c r="H22" i="28"/>
  <c r="H13" i="28"/>
  <c r="H5" i="28"/>
  <c r="H6" i="28"/>
  <c r="H4" i="28" l="1"/>
  <c r="H8" i="29"/>
  <c r="H12" i="29"/>
  <c r="I6" i="30"/>
  <c r="I7" i="28"/>
  <c r="I17" i="28"/>
  <c r="I8" i="28"/>
  <c r="I10" i="28"/>
  <c r="I19" i="29" l="1"/>
  <c r="D19" i="29" s="1"/>
  <c r="D16" i="29"/>
  <c r="J24" i="28"/>
  <c r="J21" i="28"/>
  <c r="J4" i="30"/>
  <c r="J11" i="29"/>
  <c r="J13" i="29"/>
  <c r="J10" i="29"/>
  <c r="J7" i="29"/>
  <c r="J4" i="29"/>
  <c r="K18" i="28"/>
  <c r="K22" i="28"/>
  <c r="K5" i="28"/>
  <c r="K4" i="28"/>
  <c r="K6" i="28"/>
  <c r="R11" i="28" l="1"/>
  <c r="K14" i="30"/>
  <c r="D14" i="30" s="1"/>
  <c r="K12" i="30"/>
  <c r="D12" i="30" s="1"/>
  <c r="K4" i="30"/>
  <c r="L28" i="28"/>
  <c r="D28" i="28"/>
  <c r="D21" i="28"/>
  <c r="D24" i="28"/>
  <c r="K23" i="29"/>
  <c r="K24" i="29"/>
  <c r="D24" i="29" s="1"/>
  <c r="D23" i="29"/>
  <c r="M14" i="28"/>
  <c r="M8" i="28"/>
  <c r="M11" i="28"/>
  <c r="M12" i="28"/>
  <c r="M6" i="28"/>
  <c r="M5" i="28"/>
  <c r="M4" i="28"/>
  <c r="N4" i="28"/>
  <c r="N8" i="28"/>
  <c r="N5" i="28"/>
  <c r="N7" i="28"/>
  <c r="L12" i="29"/>
  <c r="L11" i="29"/>
  <c r="L9" i="29"/>
  <c r="L6" i="29"/>
  <c r="L7" i="29"/>
  <c r="L5" i="29"/>
  <c r="L4" i="29"/>
  <c r="M6" i="29"/>
  <c r="M10" i="29"/>
  <c r="M9" i="29"/>
  <c r="M4" i="29"/>
  <c r="M5" i="29"/>
  <c r="O17" i="28"/>
  <c r="O10" i="28"/>
  <c r="O8" i="28"/>
  <c r="O19" i="28"/>
  <c r="O5" i="28"/>
  <c r="O7" i="28"/>
  <c r="N18" i="29"/>
  <c r="N8" i="29"/>
  <c r="N6" i="29"/>
  <c r="N5" i="29"/>
  <c r="G4" i="31"/>
  <c r="L10" i="30"/>
  <c r="L9" i="30"/>
  <c r="L5" i="30"/>
  <c r="P30" i="28"/>
  <c r="D30" i="28" s="1"/>
  <c r="P9" i="28"/>
  <c r="M11" i="30"/>
  <c r="H4" i="31"/>
  <c r="O13" i="29"/>
  <c r="O8" i="29"/>
  <c r="O12" i="29"/>
  <c r="O14" i="29"/>
  <c r="D14" i="29" s="1"/>
  <c r="O6" i="29"/>
  <c r="O10" i="29"/>
  <c r="N10" i="30"/>
  <c r="N20" i="30"/>
  <c r="D20" i="30" s="1"/>
  <c r="N9" i="30"/>
  <c r="N4" i="30"/>
  <c r="N6" i="30"/>
  <c r="N5" i="30"/>
  <c r="Q10" i="28"/>
  <c r="Q5" i="28"/>
  <c r="Q8" i="28"/>
  <c r="Q7" i="28"/>
  <c r="Q6" i="28"/>
  <c r="S26" i="28"/>
  <c r="D26" i="28" s="1"/>
  <c r="I6" i="31"/>
  <c r="O21" i="30"/>
  <c r="D21" i="30" s="1"/>
  <c r="O13" i="30"/>
  <c r="D13" i="30"/>
  <c r="P10" i="29"/>
  <c r="P7" i="29"/>
  <c r="Q26" i="29"/>
  <c r="D26" i="29" s="1"/>
  <c r="Q25" i="29"/>
  <c r="D25" i="29" s="1"/>
  <c r="T22" i="28"/>
  <c r="D22" i="28" s="1"/>
  <c r="R12" i="28"/>
  <c r="R4" i="28"/>
  <c r="Y12" i="28"/>
  <c r="R10" i="29"/>
  <c r="U11" i="28"/>
  <c r="U15" i="28"/>
  <c r="U6" i="28"/>
  <c r="V13" i="28"/>
  <c r="V9" i="28"/>
  <c r="V4" i="28"/>
  <c r="W9" i="28"/>
  <c r="W4" i="28"/>
  <c r="W6" i="28"/>
  <c r="J4" i="31"/>
  <c r="Q4" i="30"/>
  <c r="Q10" i="30"/>
  <c r="Q6" i="30"/>
  <c r="Q9" i="30"/>
  <c r="Q5" i="30"/>
  <c r="S18" i="29"/>
  <c r="S8" i="29"/>
  <c r="S12" i="29"/>
  <c r="S5" i="29"/>
  <c r="X23" i="28"/>
  <c r="D23" i="28" s="1"/>
  <c r="X19" i="28"/>
  <c r="X17" i="28"/>
  <c r="X10" i="28"/>
  <c r="X5" i="28"/>
  <c r="R15" i="30"/>
  <c r="D15" i="30" s="1"/>
  <c r="R11" i="30"/>
  <c r="R7" i="30"/>
  <c r="R4" i="30"/>
  <c r="T13" i="29"/>
  <c r="T9" i="29"/>
  <c r="T11" i="29"/>
  <c r="T4" i="29"/>
  <c r="T15" i="29"/>
  <c r="T7" i="29"/>
  <c r="Y8" i="28"/>
  <c r="Y14" i="28"/>
  <c r="Y6" i="28"/>
  <c r="Y15" i="28"/>
  <c r="Y7" i="28"/>
  <c r="Y9" i="28"/>
  <c r="Z14" i="28"/>
  <c r="Z5" i="28"/>
  <c r="S4" i="30"/>
  <c r="AA4" i="28"/>
  <c r="AA13" i="28"/>
  <c r="AA5" i="28"/>
  <c r="T4" i="30"/>
  <c r="T11" i="30"/>
  <c r="T5" i="30"/>
  <c r="L4" i="31"/>
  <c r="U10" i="29"/>
  <c r="U13" i="29"/>
  <c r="U6" i="29"/>
  <c r="U4" i="29"/>
  <c r="U15" i="29"/>
  <c r="U11" i="29"/>
  <c r="U9" i="29"/>
  <c r="U7" i="29"/>
  <c r="AB15" i="28"/>
  <c r="AB8" i="28"/>
  <c r="AB14" i="28"/>
  <c r="AB5" i="28"/>
  <c r="AB16" i="28"/>
  <c r="D16" i="28" s="1"/>
  <c r="AB9" i="28"/>
  <c r="AB6" i="28"/>
  <c r="AC29" i="28"/>
  <c r="D29" i="28" s="1"/>
  <c r="AC27" i="28"/>
  <c r="D27" i="28" s="1"/>
  <c r="AC20" i="28"/>
  <c r="D20" i="28" s="1"/>
  <c r="AC8" i="28"/>
  <c r="AC7" i="28"/>
  <c r="AC6" i="28"/>
  <c r="AD4" i="28"/>
  <c r="AD9" i="28"/>
  <c r="AD6" i="28"/>
  <c r="AE17" i="28"/>
  <c r="AE10" i="28"/>
  <c r="AE7" i="28"/>
  <c r="V17" i="29"/>
  <c r="D17" i="29" s="1"/>
  <c r="V8" i="29"/>
  <c r="W10" i="29"/>
  <c r="W13" i="29"/>
  <c r="W9" i="29"/>
  <c r="X12" i="29"/>
  <c r="X8" i="29"/>
  <c r="X6" i="29"/>
  <c r="X5" i="29"/>
  <c r="Y10" i="29"/>
  <c r="Y4" i="29"/>
  <c r="M4" i="31"/>
  <c r="N4" i="31"/>
  <c r="N5" i="31"/>
  <c r="D5" i="31" s="1"/>
  <c r="U7" i="30"/>
  <c r="U4" i="30"/>
  <c r="U6" i="30"/>
  <c r="U5" i="30"/>
  <c r="D16" i="30"/>
  <c r="D24" i="30"/>
  <c r="V9" i="30"/>
  <c r="V5" i="30"/>
  <c r="V7" i="30"/>
  <c r="V6" i="30"/>
  <c r="D19" i="30"/>
  <c r="D22" i="30"/>
  <c r="D23" i="30"/>
  <c r="Z18" i="30"/>
  <c r="D18" i="30" s="1"/>
  <c r="Z7" i="30"/>
  <c r="Z17" i="30"/>
  <c r="D17" i="30" s="1"/>
  <c r="W10" i="30"/>
  <c r="X11" i="30"/>
  <c r="X4" i="30"/>
  <c r="Y9" i="30"/>
  <c r="Y6" i="30"/>
  <c r="Z8" i="30"/>
  <c r="D8" i="30" s="1"/>
  <c r="Z4" i="30"/>
  <c r="D22" i="29"/>
  <c r="D18" i="28"/>
  <c r="D21" i="29"/>
  <c r="D25" i="28"/>
  <c r="D20" i="29"/>
  <c r="D6" i="31"/>
  <c r="D19" i="28" l="1"/>
  <c r="D12" i="28"/>
  <c r="D15" i="29"/>
  <c r="D11" i="28"/>
  <c r="D5" i="29"/>
  <c r="D4" i="29"/>
  <c r="D18" i="29"/>
  <c r="D13" i="29"/>
  <c r="D13" i="28"/>
  <c r="D9" i="28"/>
  <c r="D17" i="28"/>
  <c r="D11" i="30"/>
  <c r="D14" i="28"/>
  <c r="D8" i="28"/>
  <c r="D10" i="28"/>
  <c r="D4" i="28"/>
  <c r="D6" i="29"/>
  <c r="D10" i="29"/>
  <c r="D4" i="31"/>
  <c r="A6" i="31" s="1"/>
  <c r="D4" i="30"/>
  <c r="D10" i="30"/>
  <c r="D9" i="30"/>
  <c r="D6" i="28"/>
  <c r="D15" i="28"/>
  <c r="D5" i="28"/>
  <c r="D7" i="28"/>
  <c r="D6" i="30"/>
  <c r="D5" i="30"/>
  <c r="D7" i="30"/>
  <c r="D7" i="29"/>
  <c r="D9" i="29"/>
  <c r="D8" i="29"/>
  <c r="D11" i="29"/>
  <c r="D12" i="29"/>
  <c r="A26" i="29" l="1"/>
  <c r="A25" i="29"/>
  <c r="A24" i="29"/>
  <c r="A12" i="30"/>
  <c r="A24" i="30"/>
  <c r="A28" i="28"/>
  <c r="A29" i="28"/>
  <c r="A30" i="28"/>
  <c r="A13" i="29"/>
  <c r="A6" i="30"/>
  <c r="A5" i="31"/>
  <c r="A4" i="31"/>
  <c r="A10" i="29"/>
  <c r="A20" i="29"/>
  <c r="A17" i="29"/>
  <c r="A4" i="29"/>
  <c r="A11" i="29"/>
  <c r="A18" i="29"/>
  <c r="A7" i="29"/>
  <c r="A15" i="29"/>
  <c r="A8" i="29"/>
  <c r="A16" i="29"/>
  <c r="A5" i="29"/>
  <c r="A22" i="29"/>
  <c r="A23" i="29"/>
  <c r="A23" i="30"/>
  <c r="A22" i="30"/>
  <c r="A14" i="28"/>
  <c r="A27" i="28"/>
  <c r="A7" i="28"/>
  <c r="A12" i="28"/>
  <c r="A9" i="28"/>
  <c r="A18" i="28"/>
  <c r="A16" i="28"/>
  <c r="A22" i="28"/>
  <c r="A17" i="28"/>
  <c r="A19" i="28"/>
  <c r="A8" i="28"/>
  <c r="A23" i="28"/>
  <c r="A26" i="28"/>
  <c r="A11" i="28"/>
  <c r="A10" i="28"/>
  <c r="A25" i="28"/>
  <c r="A15" i="28"/>
  <c r="A20" i="28"/>
  <c r="A13" i="28"/>
  <c r="A6" i="28"/>
  <c r="A4" i="28"/>
  <c r="A24" i="28"/>
  <c r="A21" i="28"/>
  <c r="A5" i="28"/>
  <c r="A15" i="30"/>
  <c r="A13" i="30"/>
  <c r="A11" i="30"/>
  <c r="A19" i="30"/>
  <c r="A16" i="30"/>
  <c r="A20" i="30"/>
  <c r="A10" i="30"/>
  <c r="A4" i="30"/>
  <c r="A8" i="30"/>
  <c r="A9" i="30"/>
  <c r="A21" i="30"/>
  <c r="A18" i="30"/>
  <c r="A17" i="30"/>
  <c r="A14" i="30"/>
  <c r="A5" i="30"/>
  <c r="A7" i="30"/>
  <c r="A14" i="29"/>
  <c r="A6" i="29"/>
  <c r="A21" i="29"/>
  <c r="A12" i="29"/>
  <c r="A9" i="29"/>
  <c r="A19" i="29"/>
</calcChain>
</file>

<file path=xl/sharedStrings.xml><?xml version="1.0" encoding="utf-8"?>
<sst xmlns="http://schemas.openxmlformats.org/spreadsheetml/2006/main" count="244" uniqueCount="104">
  <si>
    <t>POS</t>
  </si>
  <si>
    <t>EQUIPE</t>
  </si>
  <si>
    <t>UF</t>
  </si>
  <si>
    <t>SÃO JOSÉ CICLISMO / INSTITUTO ATHLON</t>
  </si>
  <si>
    <t>AVAI F.C. - FME FLORIANOPOLIS - APGF</t>
  </si>
  <si>
    <t>SOUL EXTREME RACING TEAM</t>
  </si>
  <si>
    <t>ASSOCIACAO PEDALA ITAPEMA DE CICLISMO</t>
  </si>
  <si>
    <t>PTS</t>
  </si>
  <si>
    <t>18ª Volta do Futuro</t>
  </si>
  <si>
    <t>U. C. I. - PREFEITURA -IRACEMAPOLIS</t>
  </si>
  <si>
    <t xml:space="preserve">	LEGACY CYCLING TEAM</t>
  </si>
  <si>
    <t>5º GP Cavalo de Aço</t>
  </si>
  <si>
    <t>ACRS CYCLING TEAM/SEMEL/AUDAX/ROYAL CICLO</t>
  </si>
  <si>
    <t>2º GP Campos do Jordão de Ciclismo</t>
  </si>
  <si>
    <t>Volta de Porto Alegre</t>
  </si>
  <si>
    <t>ABEC RIO CLARO</t>
  </si>
  <si>
    <t>SP</t>
  </si>
  <si>
    <t>SC</t>
  </si>
  <si>
    <t>RJ</t>
  </si>
  <si>
    <t>FUND DE AMPARO AO ESPORTE DO MUNICIPIO DE ARARAQUARA</t>
  </si>
  <si>
    <t>ASSOCIACAO DE CICLISMO CAMPOS DO JORDAO</t>
  </si>
  <si>
    <t>Campeonato Brasileiro de Ciclismo de Estrada - CRI</t>
  </si>
  <si>
    <t>CLUBE AMAZONIA DE CICLISMO</t>
  </si>
  <si>
    <t>PA</t>
  </si>
  <si>
    <t>ACELFI - ASSOC. DE CICLISMO ESP. E LAZER DE FOZ DO IGUACU</t>
  </si>
  <si>
    <t>Campeonato Brasileiro de Ciclismo de Estrada - Resistência</t>
  </si>
  <si>
    <t>ASSOCIACAO DE CICLISMO DE CAMPO MOURAO E REGIAO ACCM</t>
  </si>
  <si>
    <t>PR</t>
  </si>
  <si>
    <t>ASSOCIACAO DOJO.COM</t>
  </si>
  <si>
    <t>INDAIATUBA CYCLING TEAM</t>
  </si>
  <si>
    <t>13ª Volta Ciclística Feminina do Brasil</t>
  </si>
  <si>
    <t xml:space="preserve">	ABEC RIO CLARO</t>
  </si>
  <si>
    <t>SESI CICLISMO</t>
  </si>
  <si>
    <t xml:space="preserve">	AVAI F.C. - FME FLORIANOPOLIS - APGF</t>
  </si>
  <si>
    <t>ASSOCIACAO JOINVILLENSE DE CICLISMO - AJOCICLO</t>
  </si>
  <si>
    <t>TEAM ALTINO OSASCO</t>
  </si>
  <si>
    <t>EQUIPE DE CICLISMO APUANA TEAM</t>
  </si>
  <si>
    <t xml:space="preserve">	ASSOCIACAO BENTO-GONCALVENSE DE CICLISMO</t>
  </si>
  <si>
    <t>RS</t>
  </si>
  <si>
    <t>SECEL JARAGUA DO SUL</t>
  </si>
  <si>
    <t xml:space="preserve">	TIJUCAS BIKE TEAM</t>
  </si>
  <si>
    <t>ANDBANK CYCLING TEAM - PINDAMONHANGABA</t>
  </si>
  <si>
    <t xml:space="preserve">	SÃO JOSÉ CICLISMO / INSTITUTO ATHLON</t>
  </si>
  <si>
    <t>LOCALIZA MEOO / SWIFT PRO CYCLING</t>
  </si>
  <si>
    <t>MG</t>
  </si>
  <si>
    <t>ACIVAS</t>
  </si>
  <si>
    <t>ASSOCIACAO BENTO-GONCALVENSE DE CICLISMO</t>
  </si>
  <si>
    <t>2ª Volta Ciclística de São José dos Campos</t>
  </si>
  <si>
    <t>ASSOC. PEDAL DOS MESTRES DE RONCADOR</t>
  </si>
  <si>
    <t>TAUBATÉ CYCLING TEAM/TARUMÃ</t>
  </si>
  <si>
    <t>SANTOS CYCLING TEAM</t>
  </si>
  <si>
    <t>CLUBE DE CICLISMO INDAIATUBA</t>
  </si>
  <si>
    <t>Prova Ciclística da Inconfidência Mineira</t>
  </si>
  <si>
    <t>UCRJ / TURIM</t>
  </si>
  <si>
    <t xml:space="preserve">GP Santa Cruz das Palmeiras </t>
  </si>
  <si>
    <t>74ª Prova Ciclística 1º de Maio</t>
  </si>
  <si>
    <t>BARBA BIKES/OSASCO/FAE</t>
  </si>
  <si>
    <t>LIGA DE CICLISMO CAMPOS GERAIS</t>
  </si>
  <si>
    <t>FUNDACAO CASA DA CULTURA E ESPORTES</t>
  </si>
  <si>
    <t>Copa Hans Fischer</t>
  </si>
  <si>
    <t>Volta Ciclística Internacional de São Paulo</t>
  </si>
  <si>
    <t>Desafio das Américas de Ciclismo</t>
  </si>
  <si>
    <t>23ª Volta Ciclística de Goiás</t>
  </si>
  <si>
    <t>EMTHOS RACING</t>
  </si>
  <si>
    <t>BA</t>
  </si>
  <si>
    <t>Gran Cup Brasil de Ciclismo 2026</t>
  </si>
  <si>
    <t>CRIA RACING TEAM</t>
  </si>
  <si>
    <t>Troféu Mario Caruso de Ciclismo de Estrada - TMC</t>
  </si>
  <si>
    <t>GP Cianorte de Ciclismo de Estrada - 2ª Etapa FPC</t>
  </si>
  <si>
    <t>ASSOC. DE CICLISMO DE CAMPO MOURAO E REGIAO ACCM</t>
  </si>
  <si>
    <t>CLUBE TOLEDENSE DE CICLISMO</t>
  </si>
  <si>
    <t>ASSOCIACAO CICLISTICA ROLANDENSE</t>
  </si>
  <si>
    <t>MUNICIPIO DE ARAPONGAS</t>
  </si>
  <si>
    <t>CLUBE MARINGAENSE DE CICLISMO-CMC</t>
  </si>
  <si>
    <t>55º Circuito do Boa Vista</t>
  </si>
  <si>
    <t>Grande Prêmio São José dos Campos / Urban Challenge</t>
  </si>
  <si>
    <t>DESAN DOMINI MKO</t>
  </si>
  <si>
    <t>36ª Prova Ciclística Subida Morro da Cruz</t>
  </si>
  <si>
    <t>Campeonato Brasileiro de Estrada CRI</t>
  </si>
  <si>
    <t>Campeonato Brasileiro de Estrada RESISTÊNCIA</t>
  </si>
  <si>
    <t>ASSOCIAÇÃO DE CICLISTAS AVULSOS</t>
  </si>
  <si>
    <t>DF</t>
  </si>
  <si>
    <t>THE BROTHERS TEAM</t>
  </si>
  <si>
    <t>PI</t>
  </si>
  <si>
    <t>GP Teresina de Ciclismo</t>
  </si>
  <si>
    <t xml:space="preserve">	TITANIUM ROAD CYCLING</t>
  </si>
  <si>
    <t>XI Volta do Marajó</t>
  </si>
  <si>
    <t>EQUIPE SALVE JORGE</t>
  </si>
  <si>
    <t>CASTANHAL PRO RACING</t>
  </si>
  <si>
    <t>75ª Prova Ciclística Internacional 9 de Julho</t>
  </si>
  <si>
    <t>CHAMA CYCLING TEAM / CCPL</t>
  </si>
  <si>
    <t>AP</t>
  </si>
  <si>
    <t>38ª Corrida Ciclística Macapá Verão</t>
  </si>
  <si>
    <t>CLUBE DO PEDAL RACE TEAM</t>
  </si>
  <si>
    <t>PELOTÃO 50TÃO</t>
  </si>
  <si>
    <t>Volta Ciclística de Santa Catarina - Etapa Rio Negrinho</t>
  </si>
  <si>
    <t>81ª Prova Ciclística São Salvador</t>
  </si>
  <si>
    <t>ROCHA SPORTS</t>
  </si>
  <si>
    <t>2º Tour de São Francisco de Itabapoana</t>
  </si>
  <si>
    <t>RANKING EQUIPES ESTRADA - ELITE/SUB23 MASCULINO - 23/08/2026</t>
  </si>
  <si>
    <t>RANKING EQUIPES ESTRADA - ELITE/SUB23 FEMININO - 23/08/2026</t>
  </si>
  <si>
    <t>Volta Ciclística Cidade de Brusque</t>
  </si>
  <si>
    <t>RANKING EQUIPES ESTRADA - JÚNIOR MASCULINO - 23/08/2026</t>
  </si>
  <si>
    <t>RANKING EQUIPES ESTRADA - JÚNIOR FEMININO - 23/08/2026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</si>
</sst>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4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14" applyNumberFormat="0" applyAlignment="0" applyProtection="0"/>
    <xf numFmtId="0" fontId="15" fillId="22" borderId="15" applyNumberFormat="0" applyAlignment="0" applyProtection="0"/>
    <xf numFmtId="0" fontId="16" fillId="0" borderId="16" applyNumberFormat="0" applyFill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7" fillId="29" borderId="14" applyNumberForma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8" fillId="30" borderId="0" applyNumberFormat="0" applyBorder="0" applyAlignment="0" applyProtection="0"/>
    <xf numFmtId="0" fontId="11" fillId="0" borderId="0"/>
    <xf numFmtId="0" fontId="2" fillId="0" borderId="0"/>
    <xf numFmtId="0" fontId="19" fillId="0" borderId="0"/>
    <xf numFmtId="0" fontId="9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8" fillId="0" borderId="0" applyFill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1" borderId="17" applyNumberFormat="0" applyFont="0" applyAlignment="0" applyProtection="0"/>
    <xf numFmtId="0" fontId="11" fillId="31" borderId="17" applyNumberFormat="0" applyFont="0" applyAlignment="0" applyProtection="0"/>
    <xf numFmtId="0" fontId="11" fillId="31" borderId="17" applyNumberFormat="0" applyFont="0" applyAlignment="0" applyProtection="0"/>
    <xf numFmtId="0" fontId="11" fillId="31" borderId="17" applyNumberFormat="0" applyFont="0" applyAlignment="0" applyProtection="0"/>
    <xf numFmtId="0" fontId="11" fillId="31" borderId="17" applyNumberFormat="0" applyFont="0" applyAlignment="0" applyProtection="0"/>
    <xf numFmtId="0" fontId="11" fillId="31" borderId="17" applyNumberFormat="0" applyFont="0" applyAlignment="0" applyProtection="0"/>
    <xf numFmtId="0" fontId="21" fillId="21" borderId="1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26" fillId="0" borderId="20" applyNumberFormat="0" applyFill="0" applyAlignment="0" applyProtection="0"/>
    <xf numFmtId="0" fontId="27" fillId="0" borderId="21" applyNumberFormat="0" applyFill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0" borderId="22" applyNumberFormat="0" applyFill="0" applyAlignment="0" applyProtection="0"/>
  </cellStyleXfs>
  <cellXfs count="74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3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6" fillId="3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2" fillId="33" borderId="3" xfId="0" applyFont="1" applyFill="1" applyBorder="1" applyAlignment="1">
      <alignment horizontal="center" vertical="center"/>
    </xf>
    <xf numFmtId="0" fontId="2" fillId="33" borderId="2" xfId="0" applyFont="1" applyFill="1" applyBorder="1" applyAlignment="1">
      <alignment horizontal="center" vertical="center"/>
    </xf>
    <xf numFmtId="0" fontId="1" fillId="33" borderId="2" xfId="0" applyFont="1" applyFill="1" applyBorder="1" applyAlignment="1">
      <alignment horizontal="center" vertical="center"/>
    </xf>
    <xf numFmtId="0" fontId="6" fillId="33" borderId="2" xfId="0" applyFont="1" applyFill="1" applyBorder="1" applyAlignment="1">
      <alignment horizontal="center" vertical="center"/>
    </xf>
    <xf numFmtId="0" fontId="7" fillId="33" borderId="2" xfId="0" applyFont="1" applyFill="1" applyBorder="1" applyAlignment="1">
      <alignment horizontal="center" vertical="center"/>
    </xf>
    <xf numFmtId="0" fontId="0" fillId="33" borderId="4" xfId="0" applyFill="1" applyBorder="1" applyAlignment="1">
      <alignment horizontal="center" vertical="center"/>
    </xf>
    <xf numFmtId="0" fontId="2" fillId="33" borderId="2" xfId="0" applyFont="1" applyFill="1" applyBorder="1" applyAlignment="1">
      <alignment vertical="center"/>
    </xf>
    <xf numFmtId="0" fontId="0" fillId="33" borderId="2" xfId="0" applyFill="1" applyBorder="1" applyAlignment="1">
      <alignment vertical="center"/>
    </xf>
    <xf numFmtId="0" fontId="6" fillId="33" borderId="2" xfId="0" applyFont="1" applyFill="1" applyBorder="1" applyAlignment="1">
      <alignment vertical="center"/>
    </xf>
    <xf numFmtId="0" fontId="0" fillId="33" borderId="1" xfId="0" applyFill="1" applyBorder="1" applyAlignment="1">
      <alignment vertical="center"/>
    </xf>
    <xf numFmtId="0" fontId="1" fillId="33" borderId="5" xfId="0" applyFont="1" applyFill="1" applyBorder="1" applyAlignment="1">
      <alignment horizontal="center" vertical="center"/>
    </xf>
    <xf numFmtId="0" fontId="0" fillId="33" borderId="4" xfId="0" applyFill="1" applyBorder="1" applyAlignment="1">
      <alignment horizontal="left" vertical="center"/>
    </xf>
    <xf numFmtId="0" fontId="2" fillId="33" borderId="4" xfId="0" applyFont="1" applyFill="1" applyBorder="1" applyAlignment="1">
      <alignment vertical="center"/>
    </xf>
    <xf numFmtId="0" fontId="6" fillId="33" borderId="4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106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" fontId="2" fillId="32" borderId="1" xfId="0" applyNumberFormat="1" applyFont="1" applyFill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horizontal="left" vertical="center" wrapText="1"/>
    </xf>
    <xf numFmtId="0" fontId="6" fillId="32" borderId="3" xfId="0" applyFont="1" applyFill="1" applyBorder="1" applyAlignment="1">
      <alignment horizontal="center" vertical="center"/>
    </xf>
    <xf numFmtId="16" fontId="2" fillId="32" borderId="5" xfId="0" applyNumberFormat="1" applyFont="1" applyFill="1" applyBorder="1" applyAlignment="1">
      <alignment horizontal="center" vertical="center"/>
    </xf>
    <xf numFmtId="16" fontId="2" fillId="0" borderId="13" xfId="0" applyNumberFormat="1" applyFont="1" applyBorder="1" applyAlignment="1">
      <alignment horizontal="center" vertical="center"/>
    </xf>
    <xf numFmtId="0" fontId="6" fillId="3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16" fontId="2" fillId="0" borderId="5" xfId="0" applyNumberFormat="1" applyFont="1" applyBorder="1" applyAlignment="1">
      <alignment horizontal="center" vertical="center"/>
    </xf>
    <xf numFmtId="16" fontId="2" fillId="34" borderId="1" xfId="0" applyNumberFormat="1" applyFont="1" applyFill="1" applyBorder="1" applyAlignment="1">
      <alignment horizontal="center" vertical="center" wrapText="1"/>
    </xf>
    <xf numFmtId="16" fontId="2" fillId="34" borderId="1" xfId="0" applyNumberFormat="1" applyFont="1" applyFill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6" fillId="32" borderId="3" xfId="0" applyFont="1" applyFill="1" applyBorder="1" applyAlignment="1">
      <alignment horizontal="center" textRotation="90"/>
    </xf>
    <xf numFmtId="0" fontId="6" fillId="32" borderId="6" xfId="0" applyFont="1" applyFill="1" applyBorder="1" applyAlignment="1">
      <alignment horizontal="center" textRotation="90"/>
    </xf>
    <xf numFmtId="0" fontId="2" fillId="0" borderId="3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10" xfId="0" applyFont="1" applyBorder="1" applyAlignment="1">
      <alignment horizontal="center" textRotation="90" wrapText="1"/>
    </xf>
    <xf numFmtId="0" fontId="2" fillId="32" borderId="3" xfId="0" applyFont="1" applyFill="1" applyBorder="1" applyAlignment="1">
      <alignment horizontal="center" textRotation="90" wrapText="1"/>
    </xf>
    <xf numFmtId="0" fontId="2" fillId="32" borderId="6" xfId="0" applyFont="1" applyFill="1" applyBorder="1" applyAlignment="1">
      <alignment horizontal="center" textRotation="90" wrapText="1"/>
    </xf>
    <xf numFmtId="0" fontId="2" fillId="34" borderId="3" xfId="0" applyFont="1" applyFill="1" applyBorder="1" applyAlignment="1">
      <alignment horizontal="center" textRotation="90" wrapText="1"/>
    </xf>
    <xf numFmtId="0" fontId="2" fillId="34" borderId="6" xfId="0" applyFont="1" applyFill="1" applyBorder="1" applyAlignment="1">
      <alignment horizontal="center" textRotation="90" wrapText="1"/>
    </xf>
    <xf numFmtId="0" fontId="6" fillId="32" borderId="3" xfId="0" applyFont="1" applyFill="1" applyBorder="1" applyAlignment="1">
      <alignment horizontal="center" textRotation="90" wrapText="1"/>
    </xf>
    <xf numFmtId="0" fontId="6" fillId="32" borderId="6" xfId="0" applyFont="1" applyFill="1" applyBorder="1" applyAlignment="1">
      <alignment horizontal="center" textRotation="90" wrapText="1"/>
    </xf>
    <xf numFmtId="0" fontId="6" fillId="0" borderId="3" xfId="0" applyFont="1" applyBorder="1" applyAlignment="1">
      <alignment horizontal="center" textRotation="90" wrapText="1"/>
    </xf>
    <xf numFmtId="0" fontId="6" fillId="0" borderId="6" xfId="0" applyFont="1" applyBorder="1" applyAlignment="1">
      <alignment horizontal="center" textRotation="90" wrapText="1"/>
    </xf>
    <xf numFmtId="0" fontId="2" fillId="32" borderId="0" xfId="0" applyFont="1" applyFill="1" applyAlignment="1">
      <alignment horizontal="center" textRotation="90" wrapText="1"/>
    </xf>
    <xf numFmtId="0" fontId="0" fillId="0" borderId="6" xfId="0" applyBorder="1" applyAlignment="1">
      <alignment horizontal="center" textRotation="90" wrapText="1"/>
    </xf>
  </cellXfs>
  <cellStyles count="134">
    <cellStyle name="20% - Ênfase1" xfId="1" builtinId="30" customBuiltin="1"/>
    <cellStyle name="20% - Ênfase1 2" xfId="2" xr:uid="{CA2830A3-E701-435C-B628-FB01ACFF62A4}"/>
    <cellStyle name="20% - Ênfase1 2 2" xfId="3" xr:uid="{958FA7BA-5819-4932-B910-8B41B27D58E6}"/>
    <cellStyle name="20% - Ênfase1 3" xfId="4" xr:uid="{7982282D-D126-4CA4-BC8C-3A4498469E16}"/>
    <cellStyle name="20% - Ênfase1 3 2" xfId="5" xr:uid="{020FD307-999E-44FB-AA64-B0A72918485B}"/>
    <cellStyle name="20% - Ênfase1 4" xfId="6" xr:uid="{C47EDC56-B2E4-4F9A-8C23-DC12E08722DD}"/>
    <cellStyle name="20% - Ênfase2" xfId="7" builtinId="34" customBuiltin="1"/>
    <cellStyle name="20% - Ênfase2 2" xfId="8" xr:uid="{CE2E477A-83DA-4E9E-B935-461243D12AA0}"/>
    <cellStyle name="20% - Ênfase2 2 2" xfId="9" xr:uid="{F86DF7E1-E10E-4AC6-8333-45F1B7225D49}"/>
    <cellStyle name="20% - Ênfase2 3" xfId="10" xr:uid="{B70B7850-39FA-4488-B7CC-5BD9566AF216}"/>
    <cellStyle name="20% - Ênfase2 3 2" xfId="11" xr:uid="{7D8C9AB9-00CB-4BEE-9B9D-EDD3E422B0ED}"/>
    <cellStyle name="20% - Ênfase2 4" xfId="12" xr:uid="{E1294E96-182F-4899-A029-2B77D270FBB9}"/>
    <cellStyle name="20% - Ênfase3" xfId="13" builtinId="38" customBuiltin="1"/>
    <cellStyle name="20% - Ênfase3 2" xfId="14" xr:uid="{AAD3B1FE-5661-4021-BD4A-92E2AF7873FB}"/>
    <cellStyle name="20% - Ênfase3 2 2" xfId="15" xr:uid="{E70D16A6-BD5A-4422-8D6A-041A3333911B}"/>
    <cellStyle name="20% - Ênfase3 3" xfId="16" xr:uid="{C0F784F0-BFA4-479F-B0A9-D122E30978FA}"/>
    <cellStyle name="20% - Ênfase3 3 2" xfId="17" xr:uid="{72D61B7E-3032-4591-9CE0-AE65D9B1F1B5}"/>
    <cellStyle name="20% - Ênfase3 4" xfId="18" xr:uid="{B4641CCC-40CF-42BC-A71C-07685F3EFE2D}"/>
    <cellStyle name="20% - Ênfase4" xfId="19" builtinId="42" customBuiltin="1"/>
    <cellStyle name="20% - Ênfase4 2" xfId="20" xr:uid="{2E9B3224-3EEE-46E3-A3A3-EC9A35F5FC95}"/>
    <cellStyle name="20% - Ênfase4 2 2" xfId="21" xr:uid="{35386FFA-BBF6-4BCC-B095-F10FA62C9CE3}"/>
    <cellStyle name="20% - Ênfase4 3" xfId="22" xr:uid="{25D4DABF-E1E4-49D6-9AF3-7DFCD583953A}"/>
    <cellStyle name="20% - Ênfase4 3 2" xfId="23" xr:uid="{EDB3F354-8AC9-447C-8E75-B95D87DC791E}"/>
    <cellStyle name="20% - Ênfase4 4" xfId="24" xr:uid="{793E7A1B-E3D9-4FE5-A82C-14DFC634E800}"/>
    <cellStyle name="20% - Ênfase5" xfId="25" builtinId="46" customBuiltin="1"/>
    <cellStyle name="20% - Ênfase5 2" xfId="26" xr:uid="{C4234E8F-37A1-4371-880E-F1E4EE847927}"/>
    <cellStyle name="20% - Ênfase5 2 2" xfId="27" xr:uid="{F464DFD8-DE18-4690-835F-E13626BFE583}"/>
    <cellStyle name="20% - Ênfase5 3" xfId="28" xr:uid="{B8EB131D-1DE5-43D9-9F69-154D6F9B9A26}"/>
    <cellStyle name="20% - Ênfase5 3 2" xfId="29" xr:uid="{8AD7E996-0843-4B0D-AE1A-8B6F0E913835}"/>
    <cellStyle name="20% - Ênfase5 4" xfId="30" xr:uid="{FB4968EF-8DDA-4607-9E8F-0F7C0A4937F9}"/>
    <cellStyle name="20% - Ênfase6" xfId="31" builtinId="50" customBuiltin="1"/>
    <cellStyle name="20% - Ênfase6 2" xfId="32" xr:uid="{2382602F-4540-461D-926E-E019BD4B48FC}"/>
    <cellStyle name="20% - Ênfase6 2 2" xfId="33" xr:uid="{7FE1C040-A382-4EB0-8733-E95648FA8FB8}"/>
    <cellStyle name="20% - Ênfase6 3" xfId="34" xr:uid="{1642CEAF-6CEE-4F6A-8E34-C800D6B90AE5}"/>
    <cellStyle name="20% - Ênfase6 3 2" xfId="35" xr:uid="{5ECB5E7F-8FD2-439C-930A-9CF94B2F9B40}"/>
    <cellStyle name="20% - Ênfase6 4" xfId="36" xr:uid="{D824FBC4-675A-4C7C-89EF-830513573E12}"/>
    <cellStyle name="40% - Ênfase1" xfId="37" builtinId="31" customBuiltin="1"/>
    <cellStyle name="40% - Ênfase1 2" xfId="38" xr:uid="{B0235081-34C3-4F59-B9A8-75B67CEEE6C4}"/>
    <cellStyle name="40% - Ênfase1 2 2" xfId="39" xr:uid="{7CF0D902-28A3-4B82-A317-14693532C4B7}"/>
    <cellStyle name="40% - Ênfase1 3" xfId="40" xr:uid="{355A4B5C-FC53-4960-9400-4EF60AEABE09}"/>
    <cellStyle name="40% - Ênfase1 3 2" xfId="41" xr:uid="{DB39AF82-0293-404E-BBBE-C4ABF4C0E521}"/>
    <cellStyle name="40% - Ênfase1 4" xfId="42" xr:uid="{83B7C932-1F6C-4D08-8677-F720AB82B77E}"/>
    <cellStyle name="40% - Ênfase2" xfId="43" builtinId="35" customBuiltin="1"/>
    <cellStyle name="40% - Ênfase2 2" xfId="44" xr:uid="{C139B055-2E38-46E3-9553-71390D756F47}"/>
    <cellStyle name="40% - Ênfase2 2 2" xfId="45" xr:uid="{637AC98B-D577-43FF-A647-43B9DECB506B}"/>
    <cellStyle name="40% - Ênfase2 3" xfId="46" xr:uid="{0172563A-FF31-40B3-B75E-F71EE9724E59}"/>
    <cellStyle name="40% - Ênfase2 3 2" xfId="47" xr:uid="{69AA13E5-E071-405C-BED8-010F380976AF}"/>
    <cellStyle name="40% - Ênfase2 4" xfId="48" xr:uid="{5616265A-71AB-4F06-8F36-01EC9572BEBE}"/>
    <cellStyle name="40% - Ênfase3" xfId="49" builtinId="39" customBuiltin="1"/>
    <cellStyle name="40% - Ênfase3 2" xfId="50" xr:uid="{203C95D4-BD4A-4DD3-9941-2F2C47162DBA}"/>
    <cellStyle name="40% - Ênfase3 2 2" xfId="51" xr:uid="{8A58DEAA-0B4F-4DC0-A8A8-65563D66F289}"/>
    <cellStyle name="40% - Ênfase3 3" xfId="52" xr:uid="{3B6559A1-6C8B-43AD-B498-A3209FA7CD16}"/>
    <cellStyle name="40% - Ênfase3 3 2" xfId="53" xr:uid="{19F04DA7-94CE-4265-B940-90846CC8E040}"/>
    <cellStyle name="40% - Ênfase3 4" xfId="54" xr:uid="{5C8FEFA4-4CC6-471C-AC92-2B7B128DFDB2}"/>
    <cellStyle name="40% - Ênfase4" xfId="55" builtinId="43" customBuiltin="1"/>
    <cellStyle name="40% - Ênfase4 2" xfId="56" xr:uid="{7A93DD35-9570-41E8-AFC5-86C5FEB60A58}"/>
    <cellStyle name="40% - Ênfase4 2 2" xfId="57" xr:uid="{805223A8-AF75-4BE6-8F8B-0DC64DE25C48}"/>
    <cellStyle name="40% - Ênfase4 3" xfId="58" xr:uid="{9C5D5B3A-BA8E-4B42-B702-E900A2E5EAE8}"/>
    <cellStyle name="40% - Ênfase4 3 2" xfId="59" xr:uid="{5352926F-0EAF-4B45-B12F-2D52C6354E5D}"/>
    <cellStyle name="40% - Ênfase4 4" xfId="60" xr:uid="{8C3C8652-1F3F-4A83-AC66-E50D0DD0BF07}"/>
    <cellStyle name="40% - Ênfase5" xfId="61" builtinId="47" customBuiltin="1"/>
    <cellStyle name="40% - Ênfase5 2" xfId="62" xr:uid="{2782DBBD-AEE6-46CD-8EFF-94E7A74C4BF1}"/>
    <cellStyle name="40% - Ênfase5 2 2" xfId="63" xr:uid="{F942689C-4B3F-4126-9D33-ABC83809ACD9}"/>
    <cellStyle name="40% - Ênfase5 3" xfId="64" xr:uid="{1EC32A6F-2601-40A2-8F3C-4697108E6913}"/>
    <cellStyle name="40% - Ênfase5 3 2" xfId="65" xr:uid="{E115FD77-ED70-4FDD-B988-77496EA56AF4}"/>
    <cellStyle name="40% - Ênfase5 4" xfId="66" xr:uid="{64759DAE-63B4-4198-8BAE-7496C2F2A039}"/>
    <cellStyle name="40% - Ênfase6" xfId="67" builtinId="51" customBuiltin="1"/>
    <cellStyle name="40% - Ênfase6 2" xfId="68" xr:uid="{7D275F80-E48F-4E6F-B46E-63938B958C73}"/>
    <cellStyle name="40% - Ênfase6 2 2" xfId="69" xr:uid="{16DE5ADD-021F-464F-89AC-87A25CB96F06}"/>
    <cellStyle name="40% - Ênfase6 3" xfId="70" xr:uid="{D7DA8DD4-686B-4118-B72A-7A3656BA6ACE}"/>
    <cellStyle name="40% - Ênfase6 3 2" xfId="71" xr:uid="{30144AD0-AD30-4045-A6DA-381BF6C1F0D8}"/>
    <cellStyle name="40% - Ênfase6 4" xfId="72" xr:uid="{2F41F3A8-D580-4FE2-A3AD-F63E717555B0}"/>
    <cellStyle name="60% - Ênfase1" xfId="73" builtinId="32" customBuiltin="1"/>
    <cellStyle name="60% - Ênfase1 2" xfId="74" xr:uid="{E37E5E47-D4DF-4AB1-A16F-FA633AB3F1EE}"/>
    <cellStyle name="60% - Ênfase1 2 2" xfId="75" xr:uid="{992CF83E-3238-4B8F-97AC-D74C25F3E76B}"/>
    <cellStyle name="60% - Ênfase2" xfId="76" builtinId="36" customBuiltin="1"/>
    <cellStyle name="60% - Ênfase2 2" xfId="77" xr:uid="{8F76BD26-E880-4BCD-98C3-2811AFBA3F3F}"/>
    <cellStyle name="60% - Ênfase2 2 2" xfId="78" xr:uid="{62CC1095-8915-47C3-9F49-2DC8871C31B5}"/>
    <cellStyle name="60% - Ênfase3" xfId="79" builtinId="40" customBuiltin="1"/>
    <cellStyle name="60% - Ênfase3 2" xfId="80" xr:uid="{12ABE6BE-80B7-4B4D-BB64-E18D4474F8C9}"/>
    <cellStyle name="60% - Ênfase3 2 2" xfId="81" xr:uid="{D00A667D-D2F3-4EBB-814F-71EF6578791E}"/>
    <cellStyle name="60% - Ênfase4" xfId="82" builtinId="44" customBuiltin="1"/>
    <cellStyle name="60% - Ênfase4 2" xfId="83" xr:uid="{9764B31A-20F9-4183-BBA2-E49E6BE699A4}"/>
    <cellStyle name="60% - Ênfase4 2 2" xfId="84" xr:uid="{B38C8B73-2D2C-49B2-B0C3-1B0FDD1B3D26}"/>
    <cellStyle name="60% - Ênfase5" xfId="85" builtinId="48" customBuiltin="1"/>
    <cellStyle name="60% - Ênfase5 2" xfId="86" xr:uid="{1D2A07DB-0322-415D-B95C-0DF7FEB5616D}"/>
    <cellStyle name="60% - Ênfase5 2 2" xfId="87" xr:uid="{1D89D09F-0947-4E1A-9F77-F2B5D7595CEC}"/>
    <cellStyle name="60% - Ênfase6" xfId="88" builtinId="52" customBuiltin="1"/>
    <cellStyle name="60% - Ênfase6 2" xfId="89" xr:uid="{04CC81D4-DD9E-41CF-A70D-03D24D034D24}"/>
    <cellStyle name="60% - Ênfase6 2 2" xfId="90" xr:uid="{F5ECFB1D-2EA0-46F9-BFF1-CE3331073D9F}"/>
    <cellStyle name="Bom" xfId="91" builtinId="26" customBuiltin="1"/>
    <cellStyle name="Cálculo" xfId="92" builtinId="22" customBuiltin="1"/>
    <cellStyle name="Célula de Verificação" xfId="93" builtinId="23" customBuiltin="1"/>
    <cellStyle name="Célula Vinculada" xfId="94" builtinId="24" customBuiltin="1"/>
    <cellStyle name="Ênfase1" xfId="95" builtinId="29" customBuiltin="1"/>
    <cellStyle name="Ênfase2" xfId="96" builtinId="33" customBuiltin="1"/>
    <cellStyle name="Ênfase3" xfId="97" builtinId="37" customBuiltin="1"/>
    <cellStyle name="Ênfase4" xfId="98" builtinId="41" customBuiltin="1"/>
    <cellStyle name="Ênfase5" xfId="99" builtinId="45" customBuiltin="1"/>
    <cellStyle name="Ênfase6" xfId="100" builtinId="49" customBuiltin="1"/>
    <cellStyle name="Entrada" xfId="101" builtinId="20" customBuiltin="1"/>
    <cellStyle name="Moeda 2" xfId="102" xr:uid="{6C85B52F-C1D7-4F57-BFDF-E797630F3EBC}"/>
    <cellStyle name="Moeda 2 2" xfId="103" xr:uid="{82858649-529F-49B6-91F4-CF4A84458851}"/>
    <cellStyle name="Neutra 2" xfId="104" xr:uid="{5DC9BCDF-B51F-4AE5-99A6-268F7B0F5CCB}"/>
    <cellStyle name="Normal" xfId="0" builtinId="0"/>
    <cellStyle name="Normal 12 2" xfId="105" xr:uid="{D60CED60-80B4-4456-8755-AF3FAFD75D80}"/>
    <cellStyle name="Normal 2" xfId="106" xr:uid="{D0B3F74A-9DA9-48A2-BADA-4AC05C5594A9}"/>
    <cellStyle name="Normal 2 2" xfId="107" xr:uid="{5A61D512-4DAD-49C6-91D0-583EBBF68154}"/>
    <cellStyle name="Normal 2 2 2" xfId="108" xr:uid="{10036F1D-0BB1-47A7-80FE-896939E23928}"/>
    <cellStyle name="Normal 3" xfId="109" xr:uid="{AF9B5EA7-75D6-46D6-AB7A-4C773399B784}"/>
    <cellStyle name="Normal 3 2" xfId="110" xr:uid="{8243EA0D-30DA-4722-B6E5-429C770243C4}"/>
    <cellStyle name="Normal 3 3" xfId="111" xr:uid="{256A657A-C0F8-4384-8C83-C3B6A0B0ACAE}"/>
    <cellStyle name="Normal 3 4" xfId="112" xr:uid="{C228ED25-7E9F-46FA-B03D-B4137998E441}"/>
    <cellStyle name="Normal 4" xfId="113" xr:uid="{CD375C9A-4F89-49F1-8C40-98C949E01CEB}"/>
    <cellStyle name="Normal 5" xfId="114" xr:uid="{60DDBD47-1374-4A8A-BD39-35CF6B5E18A7}"/>
    <cellStyle name="Normal 5 2" xfId="115" xr:uid="{3BAF7EAC-E63B-4B43-8736-2B226F677852}"/>
    <cellStyle name="Normal 6" xfId="116" xr:uid="{A210A9FC-866B-4282-B262-366925B6A230}"/>
    <cellStyle name="Normal 6 2" xfId="117" xr:uid="{6CCF2D57-C79E-4DE9-AE22-FD6D1C57AE4C}"/>
    <cellStyle name="Normal 7" xfId="118" xr:uid="{574FB943-1A56-4544-9D1E-76783A6633DF}"/>
    <cellStyle name="Nota 2" xfId="119" xr:uid="{598B6069-1398-4B31-97E0-612FDFBBFBF6}"/>
    <cellStyle name="Nota 2 2" xfId="120" xr:uid="{5BB4E209-C133-4B0E-8309-CD5F423BF222}"/>
    <cellStyle name="Nota 2 3" xfId="121" xr:uid="{D6FA0613-452A-4AB6-9F29-BCF515E96234}"/>
    <cellStyle name="Nota 3" xfId="122" xr:uid="{1CE45EA8-19C7-46BA-9D30-C4022F978293}"/>
    <cellStyle name="Nota 3 2" xfId="123" xr:uid="{F7205F09-8F19-479C-9695-321F0A301BA0}"/>
    <cellStyle name="Nota 4" xfId="124" xr:uid="{9913E990-9B61-4113-98CE-99F2B21A3D6B}"/>
    <cellStyle name="Saída" xfId="125" builtinId="21" customBuiltin="1"/>
    <cellStyle name="Texto de Aviso" xfId="126" builtinId="11" customBuiltin="1"/>
    <cellStyle name="Texto Explicativo" xfId="127" builtinId="53" customBuiltin="1"/>
    <cellStyle name="Título 1" xfId="128" builtinId="16" customBuiltin="1"/>
    <cellStyle name="Título 2" xfId="129" builtinId="17" customBuiltin="1"/>
    <cellStyle name="Título 3" xfId="130" builtinId="18" customBuiltin="1"/>
    <cellStyle name="Título 4" xfId="131" builtinId="19" customBuiltin="1"/>
    <cellStyle name="Título 5" xfId="132" xr:uid="{1E845072-CD2A-4ACC-B98A-DF530B93DC2A}"/>
    <cellStyle name="Total" xfId="133" builtinId="25" customBuiltin="1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4</xdr:col>
      <xdr:colOff>0</xdr:colOff>
      <xdr:row>0</xdr:row>
      <xdr:rowOff>594360</xdr:rowOff>
    </xdr:to>
    <xdr:pic>
      <xdr:nvPicPr>
        <xdr:cNvPr id="120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5097F1BA-006F-8743-010C-E3C3FDEA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7620"/>
          <a:ext cx="5227320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7619</xdr:rowOff>
    </xdr:from>
    <xdr:to>
      <xdr:col>3</xdr:col>
      <xdr:colOff>450056</xdr:colOff>
      <xdr:row>0</xdr:row>
      <xdr:rowOff>638174</xdr:rowOff>
    </xdr:to>
    <xdr:pic>
      <xdr:nvPicPr>
        <xdr:cNvPr id="2219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EA0ED5F-EC3E-3434-EA6A-25A9E142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7619"/>
          <a:ext cx="5517356" cy="630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7620</xdr:rowOff>
    </xdr:from>
    <xdr:to>
      <xdr:col>3</xdr:col>
      <xdr:colOff>533400</xdr:colOff>
      <xdr:row>0</xdr:row>
      <xdr:rowOff>662940</xdr:rowOff>
    </xdr:to>
    <xdr:pic>
      <xdr:nvPicPr>
        <xdr:cNvPr id="324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3E6B196-A5D0-5D47-DFBD-23744C3C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5720" y="7620"/>
          <a:ext cx="579120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0</xdr:row>
      <xdr:rowOff>617220</xdr:rowOff>
    </xdr:to>
    <xdr:pic>
      <xdr:nvPicPr>
        <xdr:cNvPr id="4259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91EA80C-688B-2C65-C1B8-FB7C3FD74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54711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8E65-491D-43B9-BAEB-E5A7C1787118}">
  <sheetPr codeName="Planilha1"/>
  <dimension ref="A1:AJ32"/>
  <sheetViews>
    <sheetView showGridLines="0" tabSelected="1" zoomScale="80" zoomScaleNormal="80" workbookViewId="0">
      <selection activeCell="F14" sqref="F14"/>
    </sheetView>
  </sheetViews>
  <sheetFormatPr defaultColWidth="9.109375" defaultRowHeight="13.8" x14ac:dyDescent="0.25"/>
  <cols>
    <col min="1" max="1" width="5.6640625" style="8" bestFit="1" customWidth="1"/>
    <col min="2" max="2" width="54.88671875" style="9" customWidth="1"/>
    <col min="3" max="3" width="7.6640625" style="2" customWidth="1"/>
    <col min="4" max="4" width="8" style="2" bestFit="1" customWidth="1"/>
    <col min="5" max="5" width="1" style="2" customWidth="1"/>
    <col min="6" max="28" width="6.6640625" style="11" customWidth="1"/>
    <col min="29" max="29" width="7.5546875" style="11" customWidth="1"/>
    <col min="30" max="30" width="7.88671875" style="11" customWidth="1"/>
    <col min="31" max="31" width="6.6640625" style="11" customWidth="1"/>
    <col min="32" max="32" width="1" style="3" customWidth="1"/>
    <col min="33" max="34" width="9.109375" style="3"/>
    <col min="35" max="35" width="33.33203125" style="3" customWidth="1"/>
    <col min="36" max="16384" width="9.109375" style="3"/>
  </cols>
  <sheetData>
    <row r="1" spans="1:36" ht="85.5" customHeight="1" x14ac:dyDescent="0.25">
      <c r="A1" s="55"/>
      <c r="B1" s="56"/>
      <c r="C1" s="56"/>
      <c r="D1" s="57"/>
      <c r="E1" s="16"/>
      <c r="F1" s="58" t="s">
        <v>101</v>
      </c>
      <c r="G1" s="60" t="s">
        <v>98</v>
      </c>
      <c r="H1" s="58" t="s">
        <v>96</v>
      </c>
      <c r="I1" s="68" t="s">
        <v>95</v>
      </c>
      <c r="J1" s="70" t="s">
        <v>92</v>
      </c>
      <c r="K1" s="58" t="s">
        <v>89</v>
      </c>
      <c r="L1" s="64" t="s">
        <v>84</v>
      </c>
      <c r="M1" s="64" t="s">
        <v>79</v>
      </c>
      <c r="N1" s="64" t="s">
        <v>78</v>
      </c>
      <c r="O1" s="60" t="s">
        <v>77</v>
      </c>
      <c r="P1" s="64" t="s">
        <v>75</v>
      </c>
      <c r="Q1" s="60" t="s">
        <v>74</v>
      </c>
      <c r="R1" s="66" t="s">
        <v>67</v>
      </c>
      <c r="S1" s="66" t="s">
        <v>68</v>
      </c>
      <c r="T1" s="62" t="s">
        <v>65</v>
      </c>
      <c r="U1" s="60" t="s">
        <v>62</v>
      </c>
      <c r="V1" s="60" t="s">
        <v>61</v>
      </c>
      <c r="W1" s="60" t="s">
        <v>60</v>
      </c>
      <c r="X1" s="60" t="s">
        <v>59</v>
      </c>
      <c r="Y1" s="60" t="s">
        <v>55</v>
      </c>
      <c r="Z1" s="60" t="s">
        <v>54</v>
      </c>
      <c r="AA1" s="60" t="s">
        <v>52</v>
      </c>
      <c r="AB1" s="60" t="s">
        <v>47</v>
      </c>
      <c r="AC1" s="64" t="s">
        <v>14</v>
      </c>
      <c r="AD1" s="64" t="s">
        <v>13</v>
      </c>
      <c r="AE1" s="64" t="s">
        <v>11</v>
      </c>
      <c r="AF1" s="16"/>
    </row>
    <row r="2" spans="1:36" s="4" customFormat="1" ht="96" customHeight="1" x14ac:dyDescent="0.25">
      <c r="A2" s="52" t="s">
        <v>99</v>
      </c>
      <c r="B2" s="53"/>
      <c r="C2" s="53"/>
      <c r="D2" s="54"/>
      <c r="E2" s="17"/>
      <c r="F2" s="59"/>
      <c r="G2" s="61"/>
      <c r="H2" s="59"/>
      <c r="I2" s="69"/>
      <c r="J2" s="71"/>
      <c r="K2" s="59"/>
      <c r="L2" s="65"/>
      <c r="M2" s="65"/>
      <c r="N2" s="65"/>
      <c r="O2" s="61"/>
      <c r="P2" s="65"/>
      <c r="Q2" s="61"/>
      <c r="R2" s="67"/>
      <c r="S2" s="67"/>
      <c r="T2" s="63"/>
      <c r="U2" s="61"/>
      <c r="V2" s="61"/>
      <c r="W2" s="61"/>
      <c r="X2" s="61"/>
      <c r="Y2" s="61"/>
      <c r="Z2" s="61"/>
      <c r="AA2" s="61"/>
      <c r="AB2" s="61"/>
      <c r="AC2" s="65"/>
      <c r="AD2" s="65"/>
      <c r="AE2" s="65"/>
      <c r="AF2" s="22"/>
    </row>
    <row r="3" spans="1:36" ht="18" customHeight="1" x14ac:dyDescent="0.25">
      <c r="A3" s="15" t="s">
        <v>0</v>
      </c>
      <c r="B3" s="15" t="s">
        <v>1</v>
      </c>
      <c r="C3" s="30" t="s">
        <v>2</v>
      </c>
      <c r="D3" s="15" t="s">
        <v>7</v>
      </c>
      <c r="E3" s="18"/>
      <c r="F3" s="44">
        <v>46250</v>
      </c>
      <c r="G3" s="50">
        <v>46243</v>
      </c>
      <c r="H3" s="44">
        <v>46240</v>
      </c>
      <c r="I3" s="44">
        <v>46236</v>
      </c>
      <c r="J3" s="38">
        <v>46229</v>
      </c>
      <c r="K3" s="44">
        <v>46212</v>
      </c>
      <c r="L3" s="37">
        <v>46201</v>
      </c>
      <c r="M3" s="37">
        <v>46201</v>
      </c>
      <c r="N3" s="37">
        <v>46198</v>
      </c>
      <c r="O3" s="38">
        <v>46194</v>
      </c>
      <c r="P3" s="37">
        <v>46187</v>
      </c>
      <c r="Q3" s="44">
        <v>46187</v>
      </c>
      <c r="R3" s="51">
        <v>46173</v>
      </c>
      <c r="S3" s="51">
        <v>46173</v>
      </c>
      <c r="T3" s="45">
        <v>46166</v>
      </c>
      <c r="U3" s="38">
        <v>46166</v>
      </c>
      <c r="V3" s="38">
        <v>46152</v>
      </c>
      <c r="W3" s="38">
        <v>46150</v>
      </c>
      <c r="X3" s="37">
        <v>46145</v>
      </c>
      <c r="Y3" s="38">
        <v>46143</v>
      </c>
      <c r="Z3" s="38">
        <v>46138</v>
      </c>
      <c r="AA3" s="38">
        <v>46133</v>
      </c>
      <c r="AB3" s="38">
        <v>46131</v>
      </c>
      <c r="AC3" s="37">
        <v>46103</v>
      </c>
      <c r="AD3" s="37">
        <v>46089</v>
      </c>
      <c r="AE3" s="37">
        <v>46068</v>
      </c>
      <c r="AF3" s="23"/>
      <c r="AJ3" s="72"/>
    </row>
    <row r="4" spans="1:36" s="10" customFormat="1" ht="18" customHeight="1" x14ac:dyDescent="0.25">
      <c r="A4" s="1">
        <f>RANK(D4,D$4:D$51,0)</f>
        <v>1</v>
      </c>
      <c r="B4" s="42" t="s">
        <v>43</v>
      </c>
      <c r="C4" s="31" t="s">
        <v>44</v>
      </c>
      <c r="D4" s="1">
        <f>SUM(F4:AF4)</f>
        <v>1765</v>
      </c>
      <c r="E4" s="19"/>
      <c r="F4" s="46"/>
      <c r="G4" s="46">
        <f>50+40+25+9</f>
        <v>124</v>
      </c>
      <c r="H4" s="46">
        <f>20+80+25+10</f>
        <v>135</v>
      </c>
      <c r="I4" s="46"/>
      <c r="J4" s="46"/>
      <c r="K4" s="47">
        <f>70+35+5</f>
        <v>110</v>
      </c>
      <c r="L4" s="46"/>
      <c r="M4" s="46">
        <f>180+180+120+65</f>
        <v>545</v>
      </c>
      <c r="N4" s="46">
        <f>110+90+70</f>
        <v>270</v>
      </c>
      <c r="O4" s="46"/>
      <c r="P4" s="46"/>
      <c r="Q4" s="47"/>
      <c r="R4" s="46">
        <f>31+60+55+50</f>
        <v>196</v>
      </c>
      <c r="S4" s="47"/>
      <c r="T4" s="43"/>
      <c r="U4" s="43"/>
      <c r="V4" s="43">
        <f>120+35</f>
        <v>155</v>
      </c>
      <c r="W4" s="43">
        <f>85+45+45</f>
        <v>175</v>
      </c>
      <c r="X4" s="43"/>
      <c r="Y4" s="43"/>
      <c r="Z4" s="43"/>
      <c r="AA4" s="43">
        <f>17+15+9</f>
        <v>41</v>
      </c>
      <c r="AB4" s="35"/>
      <c r="AC4" s="6"/>
      <c r="AD4" s="1">
        <f>7+5+2</f>
        <v>14</v>
      </c>
      <c r="AE4" s="6"/>
      <c r="AF4" s="24"/>
      <c r="AJ4" s="72"/>
    </row>
    <row r="5" spans="1:36" s="10" customFormat="1" ht="18" customHeight="1" x14ac:dyDescent="0.25">
      <c r="A5" s="1">
        <f>RANK(D5,D$4:D$51,0)</f>
        <v>2</v>
      </c>
      <c r="B5" s="39" t="s">
        <v>49</v>
      </c>
      <c r="C5" s="1" t="s">
        <v>16</v>
      </c>
      <c r="D5" s="1">
        <f>SUM(F5:AF5)</f>
        <v>1406</v>
      </c>
      <c r="E5" s="19"/>
      <c r="F5" s="6">
        <f>55+45+20+3</f>
        <v>123</v>
      </c>
      <c r="G5" s="6">
        <f>45+20+31+6</f>
        <v>102</v>
      </c>
      <c r="H5" s="6">
        <f>45+15+55+9</f>
        <v>124</v>
      </c>
      <c r="I5" s="6"/>
      <c r="J5" s="6"/>
      <c r="K5" s="1">
        <f>50+40+9</f>
        <v>99</v>
      </c>
      <c r="L5" s="6"/>
      <c r="M5" s="6">
        <f>120+18+8</f>
        <v>146</v>
      </c>
      <c r="N5" s="6">
        <f>90+35+25</f>
        <v>150</v>
      </c>
      <c r="O5" s="6">
        <f>70+15</f>
        <v>85</v>
      </c>
      <c r="P5" s="6"/>
      <c r="Q5" s="1">
        <f>60+50+25+9</f>
        <v>144</v>
      </c>
      <c r="R5" s="6">
        <v>40</v>
      </c>
      <c r="S5" s="1"/>
      <c r="T5" s="6"/>
      <c r="U5" s="6"/>
      <c r="V5" s="6"/>
      <c r="W5" s="6"/>
      <c r="X5" s="6">
        <f>60+45+35+20</f>
        <v>160</v>
      </c>
      <c r="Y5" s="6">
        <v>9</v>
      </c>
      <c r="Z5" s="6">
        <f>10+9+8+7</f>
        <v>34</v>
      </c>
      <c r="AA5" s="6">
        <f>40+35+30+4</f>
        <v>109</v>
      </c>
      <c r="AB5" s="1">
        <f>40+31+6+4</f>
        <v>81</v>
      </c>
      <c r="AC5" s="6"/>
      <c r="AD5" s="6"/>
      <c r="AE5" s="6"/>
      <c r="AF5" s="24"/>
      <c r="AJ5" s="72"/>
    </row>
    <row r="6" spans="1:36" s="10" customFormat="1" ht="18" customHeight="1" x14ac:dyDescent="0.25">
      <c r="A6" s="1">
        <f>RANK(D6,D$4:D$51,0)</f>
        <v>3</v>
      </c>
      <c r="B6" s="39" t="s">
        <v>41</v>
      </c>
      <c r="C6" s="1" t="s">
        <v>16</v>
      </c>
      <c r="D6" s="1">
        <f>SUM(F6:AF6)</f>
        <v>1401</v>
      </c>
      <c r="E6" s="19"/>
      <c r="F6" s="6"/>
      <c r="G6" s="6">
        <f>60+55+33+15</f>
        <v>163</v>
      </c>
      <c r="H6" s="6">
        <f>65+80+50</f>
        <v>195</v>
      </c>
      <c r="I6" s="6"/>
      <c r="J6" s="6"/>
      <c r="K6" s="1">
        <f>75+55+2</f>
        <v>132</v>
      </c>
      <c r="L6" s="6"/>
      <c r="M6" s="6">
        <f>80+55+11+7</f>
        <v>153</v>
      </c>
      <c r="N6" s="6"/>
      <c r="O6" s="6"/>
      <c r="P6" s="6"/>
      <c r="Q6" s="1">
        <f>80+8+5</f>
        <v>93</v>
      </c>
      <c r="R6" s="6"/>
      <c r="S6" s="1"/>
      <c r="T6" s="6"/>
      <c r="U6" s="6">
        <f>60+50+35+10</f>
        <v>155</v>
      </c>
      <c r="V6" s="6">
        <v>13</v>
      </c>
      <c r="W6" s="6">
        <f>130+15+3</f>
        <v>148</v>
      </c>
      <c r="X6" s="6"/>
      <c r="Y6" s="6">
        <f>55+4</f>
        <v>59</v>
      </c>
      <c r="Z6" s="6"/>
      <c r="AA6" s="6"/>
      <c r="AB6" s="1">
        <f>60+45+5+3</f>
        <v>113</v>
      </c>
      <c r="AC6" s="6">
        <f>60+55+40</f>
        <v>155</v>
      </c>
      <c r="AD6" s="6">
        <f>10+8+4</f>
        <v>22</v>
      </c>
      <c r="AE6" s="6"/>
      <c r="AF6" s="24"/>
      <c r="AJ6" s="72"/>
    </row>
    <row r="7" spans="1:36" s="10" customFormat="1" ht="18" customHeight="1" x14ac:dyDescent="0.25">
      <c r="A7" s="1">
        <f>RANK(D7,D$4:D$51,0)</f>
        <v>4</v>
      </c>
      <c r="B7" s="39" t="s">
        <v>12</v>
      </c>
      <c r="C7" s="1" t="s">
        <v>17</v>
      </c>
      <c r="D7" s="1">
        <f>SUM(F7:AF7)</f>
        <v>1301</v>
      </c>
      <c r="E7" s="19"/>
      <c r="F7" s="6">
        <f>60+40+35+31</f>
        <v>166</v>
      </c>
      <c r="G7" s="6"/>
      <c r="H7" s="6"/>
      <c r="I7" s="6">
        <f>35+20+17+5</f>
        <v>77</v>
      </c>
      <c r="J7" s="6"/>
      <c r="K7" s="1"/>
      <c r="L7" s="6"/>
      <c r="M7" s="6">
        <v>100</v>
      </c>
      <c r="N7" s="6">
        <f>45+20+7</f>
        <v>72</v>
      </c>
      <c r="O7" s="6">
        <f>80+75+60+45</f>
        <v>260</v>
      </c>
      <c r="P7" s="6"/>
      <c r="Q7" s="1">
        <f>75+55+6+4</f>
        <v>140</v>
      </c>
      <c r="R7" s="6"/>
      <c r="S7" s="1"/>
      <c r="T7" s="6"/>
      <c r="U7" s="6"/>
      <c r="V7" s="6">
        <v>65</v>
      </c>
      <c r="W7" s="6">
        <v>85</v>
      </c>
      <c r="X7" s="6"/>
      <c r="Y7" s="6">
        <f>70+10</f>
        <v>80</v>
      </c>
      <c r="Z7" s="6"/>
      <c r="AA7" s="6"/>
      <c r="AB7" s="1"/>
      <c r="AC7" s="6">
        <f>50+45+31+30</f>
        <v>156</v>
      </c>
      <c r="AD7" s="6"/>
      <c r="AE7" s="6">
        <f>40+5+35+20</f>
        <v>100</v>
      </c>
      <c r="AF7" s="24"/>
      <c r="AJ7" s="72"/>
    </row>
    <row r="8" spans="1:36" s="10" customFormat="1" ht="18" customHeight="1" x14ac:dyDescent="0.25">
      <c r="A8" s="1">
        <f>RANK(D8,D$4:D$51,0)</f>
        <v>5</v>
      </c>
      <c r="B8" s="39" t="s">
        <v>5</v>
      </c>
      <c r="C8" s="1" t="s">
        <v>17</v>
      </c>
      <c r="D8" s="1">
        <f>SUM(F8:AF8)</f>
        <v>791</v>
      </c>
      <c r="E8" s="19"/>
      <c r="F8" s="6">
        <f>37+33+25+9</f>
        <v>104</v>
      </c>
      <c r="G8" s="6"/>
      <c r="H8" s="6"/>
      <c r="I8" s="6">
        <f>15+11+7+2</f>
        <v>35</v>
      </c>
      <c r="J8" s="6"/>
      <c r="K8" s="1"/>
      <c r="L8" s="6"/>
      <c r="M8" s="6">
        <f>65+22+20+18</f>
        <v>125</v>
      </c>
      <c r="N8" s="6">
        <f>45+35+30+10</f>
        <v>120</v>
      </c>
      <c r="O8" s="6">
        <f>50+35+25+2</f>
        <v>112</v>
      </c>
      <c r="P8" s="6"/>
      <c r="Q8" s="1">
        <f>70+45</f>
        <v>115</v>
      </c>
      <c r="R8" s="6"/>
      <c r="S8" s="1"/>
      <c r="T8" s="6"/>
      <c r="U8" s="6">
        <v>9</v>
      </c>
      <c r="V8" s="6">
        <v>14</v>
      </c>
      <c r="W8" s="6"/>
      <c r="X8" s="6"/>
      <c r="Y8" s="6">
        <f>6+5</f>
        <v>11</v>
      </c>
      <c r="Z8" s="6"/>
      <c r="AA8" s="6"/>
      <c r="AB8" s="1">
        <f>33+25+1</f>
        <v>59</v>
      </c>
      <c r="AC8" s="6">
        <f>37+25+15+10</f>
        <v>87</v>
      </c>
      <c r="AD8" s="6"/>
      <c r="AE8" s="6"/>
      <c r="AF8" s="24"/>
      <c r="AI8"/>
    </row>
    <row r="9" spans="1:36" s="10" customFormat="1" ht="18" customHeight="1" x14ac:dyDescent="0.25">
      <c r="A9" s="1">
        <f>RANK(D9,D$4:D$51,0)</f>
        <v>6</v>
      </c>
      <c r="B9" s="39" t="s">
        <v>42</v>
      </c>
      <c r="C9" s="1" t="s">
        <v>16</v>
      </c>
      <c r="D9" s="1">
        <f>SUM(F9:AF9)</f>
        <v>476</v>
      </c>
      <c r="E9" s="19"/>
      <c r="F9" s="6"/>
      <c r="G9" s="6"/>
      <c r="H9" s="6"/>
      <c r="I9" s="6"/>
      <c r="J9" s="6"/>
      <c r="K9" s="1"/>
      <c r="L9" s="6"/>
      <c r="M9" s="6">
        <v>13</v>
      </c>
      <c r="N9" s="6"/>
      <c r="O9" s="6"/>
      <c r="P9" s="6">
        <f>10+9+8+5</f>
        <v>32</v>
      </c>
      <c r="Q9" s="1"/>
      <c r="R9" s="6"/>
      <c r="S9" s="1"/>
      <c r="T9" s="6"/>
      <c r="U9" s="6">
        <v>30</v>
      </c>
      <c r="V9" s="6">
        <f>100+45</f>
        <v>145</v>
      </c>
      <c r="W9" s="6">
        <f>55+12</f>
        <v>67</v>
      </c>
      <c r="X9" s="6"/>
      <c r="Y9" s="6">
        <f>80+8</f>
        <v>88</v>
      </c>
      <c r="Z9" s="6"/>
      <c r="AA9" s="6"/>
      <c r="AB9" s="1">
        <f>55+15+9+7</f>
        <v>86</v>
      </c>
      <c r="AC9" s="6"/>
      <c r="AD9" s="6">
        <f>9+6</f>
        <v>15</v>
      </c>
      <c r="AE9" s="6"/>
      <c r="AF9" s="24"/>
      <c r="AI9" s="41"/>
    </row>
    <row r="10" spans="1:36" s="10" customFormat="1" ht="18" customHeight="1" x14ac:dyDescent="0.25">
      <c r="A10" s="1">
        <f>RANK(D10,D$4:D$51,0)</f>
        <v>7</v>
      </c>
      <c r="B10" s="39" t="s">
        <v>39</v>
      </c>
      <c r="C10" s="1" t="s">
        <v>17</v>
      </c>
      <c r="D10" s="1">
        <f>SUM(F10:AF10)</f>
        <v>313</v>
      </c>
      <c r="E10" s="19"/>
      <c r="F10" s="6">
        <f>15+10+8+7</f>
        <v>40</v>
      </c>
      <c r="G10" s="6"/>
      <c r="H10" s="6"/>
      <c r="I10" s="6">
        <f>30+13</f>
        <v>43</v>
      </c>
      <c r="J10" s="6"/>
      <c r="K10" s="1"/>
      <c r="L10" s="6"/>
      <c r="M10" s="6"/>
      <c r="N10" s="6"/>
      <c r="O10" s="6">
        <f>20+8+6+1</f>
        <v>35</v>
      </c>
      <c r="P10" s="6"/>
      <c r="Q10" s="1">
        <f>20+3+1</f>
        <v>24</v>
      </c>
      <c r="R10" s="6"/>
      <c r="S10" s="1"/>
      <c r="T10" s="6"/>
      <c r="U10" s="6"/>
      <c r="V10" s="6"/>
      <c r="W10" s="6"/>
      <c r="X10" s="6">
        <f>37+33+30+15</f>
        <v>115</v>
      </c>
      <c r="Y10" s="6"/>
      <c r="Z10" s="6"/>
      <c r="AA10" s="6"/>
      <c r="AB10" s="1"/>
      <c r="AC10" s="6"/>
      <c r="AD10" s="6"/>
      <c r="AE10" s="6">
        <f>15+25+9+7</f>
        <v>56</v>
      </c>
      <c r="AF10" s="24"/>
      <c r="AI10" s="41"/>
    </row>
    <row r="11" spans="1:36" s="10" customFormat="1" ht="18" customHeight="1" x14ac:dyDescent="0.25">
      <c r="A11" s="1">
        <f>RANK(D11,D$4:D$51,0)</f>
        <v>8</v>
      </c>
      <c r="B11" s="5" t="s">
        <v>51</v>
      </c>
      <c r="C11" s="1" t="s">
        <v>16</v>
      </c>
      <c r="D11" s="1">
        <f>SUM(F11:AF11)</f>
        <v>217</v>
      </c>
      <c r="E11" s="19"/>
      <c r="F11" s="6"/>
      <c r="G11" s="6"/>
      <c r="H11" s="6"/>
      <c r="I11" s="6"/>
      <c r="J11" s="6"/>
      <c r="K11" s="1"/>
      <c r="L11" s="6"/>
      <c r="M11" s="6">
        <f>45+16+10</f>
        <v>71</v>
      </c>
      <c r="N11" s="6"/>
      <c r="O11" s="6"/>
      <c r="P11" s="6"/>
      <c r="Q11" s="1"/>
      <c r="R11" s="6">
        <f>37+33+6</f>
        <v>76</v>
      </c>
      <c r="S11" s="1"/>
      <c r="T11" s="6"/>
      <c r="U11" s="6">
        <f>31+4</f>
        <v>35</v>
      </c>
      <c r="V11" s="6"/>
      <c r="W11" s="6"/>
      <c r="X11" s="6"/>
      <c r="Y11" s="6">
        <v>35</v>
      </c>
      <c r="Z11" s="6"/>
      <c r="AA11" s="6"/>
      <c r="AB11" s="6"/>
      <c r="AC11" s="6"/>
      <c r="AD11" s="6"/>
      <c r="AE11" s="6"/>
      <c r="AF11" s="24"/>
      <c r="AI11" s="41"/>
    </row>
    <row r="12" spans="1:36" s="10" customFormat="1" ht="18" customHeight="1" x14ac:dyDescent="0.25">
      <c r="A12" s="1">
        <f>RANK(D12,D$4:D$51,0)</f>
        <v>9</v>
      </c>
      <c r="B12" s="34" t="s">
        <v>63</v>
      </c>
      <c r="C12" s="1" t="s">
        <v>64</v>
      </c>
      <c r="D12" s="1">
        <f>SUM(F12:AF12)</f>
        <v>191</v>
      </c>
      <c r="E12" s="19"/>
      <c r="F12" s="6"/>
      <c r="G12" s="6"/>
      <c r="H12" s="6"/>
      <c r="I12" s="6"/>
      <c r="J12" s="6"/>
      <c r="K12" s="1"/>
      <c r="L12" s="6"/>
      <c r="M12" s="6">
        <f>29+5+1</f>
        <v>35</v>
      </c>
      <c r="N12" s="6"/>
      <c r="O12" s="6"/>
      <c r="P12" s="6"/>
      <c r="Q12" s="1"/>
      <c r="R12" s="6">
        <f>5+10+2+3</f>
        <v>20</v>
      </c>
      <c r="S12" s="1"/>
      <c r="T12" s="6"/>
      <c r="U12" s="6">
        <v>1</v>
      </c>
      <c r="V12" s="6"/>
      <c r="W12" s="6"/>
      <c r="X12" s="6"/>
      <c r="Y12" s="6">
        <f>75+60</f>
        <v>135</v>
      </c>
      <c r="Z12" s="6"/>
      <c r="AA12" s="6"/>
      <c r="AB12" s="6"/>
      <c r="AC12" s="6"/>
      <c r="AD12" s="6"/>
      <c r="AE12" s="6"/>
      <c r="AF12" s="24"/>
    </row>
    <row r="13" spans="1:36" s="10" customFormat="1" ht="18" customHeight="1" x14ac:dyDescent="0.25">
      <c r="A13" s="1">
        <f>RANK(D13,D$4:D$51,0)</f>
        <v>10</v>
      </c>
      <c r="B13" s="5" t="s">
        <v>53</v>
      </c>
      <c r="C13" s="1" t="s">
        <v>18</v>
      </c>
      <c r="D13" s="1">
        <f>SUM(F13:AF13)</f>
        <v>151</v>
      </c>
      <c r="E13" s="19"/>
      <c r="F13" s="6"/>
      <c r="G13" s="6">
        <f>37+3+1</f>
        <v>41</v>
      </c>
      <c r="H13" s="6">
        <f>40+4</f>
        <v>44</v>
      </c>
      <c r="I13" s="6"/>
      <c r="J13" s="6"/>
      <c r="K13" s="1"/>
      <c r="L13" s="6"/>
      <c r="M13" s="6">
        <v>6</v>
      </c>
      <c r="N13" s="6"/>
      <c r="O13" s="6"/>
      <c r="P13" s="6"/>
      <c r="Q13" s="1"/>
      <c r="R13" s="6"/>
      <c r="S13" s="1"/>
      <c r="T13" s="6"/>
      <c r="U13" s="6"/>
      <c r="V13" s="6">
        <f>22+11</f>
        <v>33</v>
      </c>
      <c r="W13" s="6"/>
      <c r="X13" s="6"/>
      <c r="Y13" s="6"/>
      <c r="Z13" s="6"/>
      <c r="AA13" s="6">
        <f>25+2</f>
        <v>27</v>
      </c>
      <c r="AB13" s="6"/>
      <c r="AC13" s="6"/>
      <c r="AD13" s="6"/>
      <c r="AE13" s="6"/>
      <c r="AF13" s="24"/>
    </row>
    <row r="14" spans="1:36" s="10" customFormat="1" ht="18" customHeight="1" x14ac:dyDescent="0.25">
      <c r="A14" s="1">
        <f>RANK(D14,D$4:D$51,0)</f>
        <v>11</v>
      </c>
      <c r="B14" s="39" t="s">
        <v>9</v>
      </c>
      <c r="C14" s="1" t="s">
        <v>16</v>
      </c>
      <c r="D14" s="1">
        <f>SUM(F14:AF14)</f>
        <v>143</v>
      </c>
      <c r="E14" s="19"/>
      <c r="F14" s="6"/>
      <c r="G14" s="6"/>
      <c r="H14" s="6"/>
      <c r="I14" s="6"/>
      <c r="J14" s="6"/>
      <c r="K14" s="1">
        <v>4</v>
      </c>
      <c r="L14" s="6"/>
      <c r="M14" s="6">
        <f>11+9</f>
        <v>20</v>
      </c>
      <c r="N14" s="6"/>
      <c r="O14" s="6"/>
      <c r="P14" s="6"/>
      <c r="Q14" s="1"/>
      <c r="R14" s="6"/>
      <c r="S14" s="1"/>
      <c r="T14" s="6"/>
      <c r="U14" s="6"/>
      <c r="V14" s="6"/>
      <c r="W14" s="6"/>
      <c r="X14" s="6"/>
      <c r="Y14" s="6">
        <f>25+15</f>
        <v>40</v>
      </c>
      <c r="Z14" s="6">
        <f>6+5</f>
        <v>11</v>
      </c>
      <c r="AA14" s="6"/>
      <c r="AB14" s="1">
        <f>37+30</f>
        <v>67</v>
      </c>
      <c r="AC14" s="6"/>
      <c r="AD14" s="6">
        <v>1</v>
      </c>
      <c r="AE14" s="6"/>
      <c r="AF14" s="24"/>
    </row>
    <row r="15" spans="1:36" s="10" customFormat="1" ht="18" customHeight="1" x14ac:dyDescent="0.25">
      <c r="A15" s="1">
        <f>RANK(D15,D$4:D$51,0)</f>
        <v>11</v>
      </c>
      <c r="B15" s="39" t="s">
        <v>50</v>
      </c>
      <c r="C15" s="1" t="s">
        <v>16</v>
      </c>
      <c r="D15" s="1">
        <f>SUM(F15:AF15)</f>
        <v>143</v>
      </c>
      <c r="E15" s="19"/>
      <c r="F15" s="6"/>
      <c r="G15" s="6"/>
      <c r="H15" s="6"/>
      <c r="I15" s="6"/>
      <c r="J15" s="6"/>
      <c r="K15" s="1">
        <v>10</v>
      </c>
      <c r="L15" s="6"/>
      <c r="M15" s="6"/>
      <c r="N15" s="6"/>
      <c r="O15" s="6"/>
      <c r="P15" s="6"/>
      <c r="Q15" s="1"/>
      <c r="R15" s="6"/>
      <c r="S15" s="1"/>
      <c r="T15" s="6"/>
      <c r="U15" s="6">
        <f>40+7</f>
        <v>47</v>
      </c>
      <c r="V15" s="6"/>
      <c r="W15" s="6">
        <v>11</v>
      </c>
      <c r="X15" s="6"/>
      <c r="Y15" s="6">
        <f>60+3</f>
        <v>63</v>
      </c>
      <c r="Z15" s="6"/>
      <c r="AA15" s="6"/>
      <c r="AB15" s="1">
        <f>10+2</f>
        <v>12</v>
      </c>
      <c r="AC15" s="6"/>
      <c r="AD15" s="6"/>
      <c r="AE15" s="6"/>
      <c r="AF15" s="24"/>
    </row>
    <row r="16" spans="1:36" s="10" customFormat="1" ht="18" customHeight="1" x14ac:dyDescent="0.25">
      <c r="A16" s="1">
        <f>RANK(D16,D$4:D$51,0)</f>
        <v>13</v>
      </c>
      <c r="B16" s="39" t="s">
        <v>48</v>
      </c>
      <c r="C16" s="1" t="s">
        <v>27</v>
      </c>
      <c r="D16" s="1">
        <f>SUM(F16:AF16)</f>
        <v>130</v>
      </c>
      <c r="E16" s="19"/>
      <c r="F16" s="6"/>
      <c r="G16" s="6"/>
      <c r="H16" s="6"/>
      <c r="I16" s="6"/>
      <c r="J16" s="6"/>
      <c r="K16" s="1"/>
      <c r="L16" s="6"/>
      <c r="M16" s="6"/>
      <c r="N16" s="6"/>
      <c r="O16" s="6"/>
      <c r="P16" s="6"/>
      <c r="Q16" s="1"/>
      <c r="R16" s="6"/>
      <c r="S16" s="1"/>
      <c r="T16" s="6"/>
      <c r="U16" s="6">
        <v>45</v>
      </c>
      <c r="V16" s="6"/>
      <c r="W16" s="6"/>
      <c r="X16" s="6"/>
      <c r="Y16" s="6"/>
      <c r="Z16" s="6"/>
      <c r="AA16" s="6"/>
      <c r="AB16" s="1">
        <f>50+35</f>
        <v>85</v>
      </c>
      <c r="AC16" s="6"/>
      <c r="AD16" s="6"/>
      <c r="AE16" s="6"/>
      <c r="AF16" s="24"/>
    </row>
    <row r="17" spans="1:32" s="10" customFormat="1" ht="18" customHeight="1" x14ac:dyDescent="0.25">
      <c r="A17" s="1">
        <f>RANK(D17,D$4:D$51,0)</f>
        <v>14</v>
      </c>
      <c r="B17" s="39" t="s">
        <v>6</v>
      </c>
      <c r="C17" s="1" t="s">
        <v>17</v>
      </c>
      <c r="D17" s="1">
        <f>SUM(F17:AF17)</f>
        <v>102</v>
      </c>
      <c r="E17" s="19"/>
      <c r="F17" s="6"/>
      <c r="G17" s="6"/>
      <c r="H17" s="6"/>
      <c r="I17" s="6">
        <f>4+3</f>
        <v>7</v>
      </c>
      <c r="J17" s="6"/>
      <c r="K17" s="1"/>
      <c r="L17" s="6"/>
      <c r="M17" s="6"/>
      <c r="N17" s="6"/>
      <c r="O17" s="6">
        <f>7+4</f>
        <v>11</v>
      </c>
      <c r="P17" s="6"/>
      <c r="Q17" s="1">
        <v>7</v>
      </c>
      <c r="R17" s="6"/>
      <c r="S17" s="1"/>
      <c r="T17" s="6"/>
      <c r="U17" s="6"/>
      <c r="V17" s="6"/>
      <c r="W17" s="6"/>
      <c r="X17" s="6">
        <f>31+25+3</f>
        <v>59</v>
      </c>
      <c r="Y17" s="6"/>
      <c r="Z17" s="6"/>
      <c r="AA17" s="6"/>
      <c r="AB17" s="1"/>
      <c r="AC17" s="6"/>
      <c r="AD17" s="6"/>
      <c r="AE17" s="6">
        <f>17+1</f>
        <v>18</v>
      </c>
      <c r="AF17" s="24"/>
    </row>
    <row r="18" spans="1:32" s="10" customFormat="1" ht="18" customHeight="1" x14ac:dyDescent="0.25">
      <c r="A18" s="1">
        <f>RANK(D18,D$4:D$51,0)</f>
        <v>15</v>
      </c>
      <c r="B18" s="5" t="s">
        <v>56</v>
      </c>
      <c r="C18" s="1" t="s">
        <v>16</v>
      </c>
      <c r="D18" s="1">
        <f>SUM(F18:AF18)</f>
        <v>86</v>
      </c>
      <c r="E18" s="19"/>
      <c r="F18" s="6"/>
      <c r="G18" s="6"/>
      <c r="H18" s="6"/>
      <c r="I18" s="6"/>
      <c r="J18" s="6"/>
      <c r="K18" s="1">
        <f>45+1</f>
        <v>46</v>
      </c>
      <c r="L18" s="6"/>
      <c r="M18" s="6"/>
      <c r="N18" s="6"/>
      <c r="O18" s="6"/>
      <c r="P18" s="6"/>
      <c r="Q18" s="1"/>
      <c r="R18" s="6"/>
      <c r="S18" s="1"/>
      <c r="T18" s="6"/>
      <c r="U18" s="6"/>
      <c r="V18" s="6"/>
      <c r="W18" s="6"/>
      <c r="X18" s="6"/>
      <c r="Y18" s="6">
        <v>40</v>
      </c>
      <c r="Z18" s="6"/>
      <c r="AA18" s="6"/>
      <c r="AB18" s="6"/>
      <c r="AC18" s="6"/>
      <c r="AD18" s="6"/>
      <c r="AE18" s="6"/>
      <c r="AF18" s="24"/>
    </row>
    <row r="19" spans="1:32" s="10" customFormat="1" ht="18" customHeight="1" x14ac:dyDescent="0.25">
      <c r="A19" s="1">
        <f>RANK(D19,D$4:D$51,0)</f>
        <v>16</v>
      </c>
      <c r="B19" s="5" t="s">
        <v>4</v>
      </c>
      <c r="C19" s="1" t="s">
        <v>17</v>
      </c>
      <c r="D19" s="1">
        <f>SUM(F19:AF19)</f>
        <v>73</v>
      </c>
      <c r="E19" s="19"/>
      <c r="F19" s="6"/>
      <c r="G19" s="6"/>
      <c r="H19" s="6"/>
      <c r="I19" s="6"/>
      <c r="J19" s="6"/>
      <c r="K19" s="1"/>
      <c r="L19" s="6"/>
      <c r="M19" s="6"/>
      <c r="N19" s="6"/>
      <c r="O19" s="6">
        <f>55+5</f>
        <v>60</v>
      </c>
      <c r="P19" s="6"/>
      <c r="Q19" s="1"/>
      <c r="R19" s="6"/>
      <c r="S19" s="1"/>
      <c r="T19" s="6"/>
      <c r="U19" s="6"/>
      <c r="V19" s="6"/>
      <c r="W19" s="6"/>
      <c r="X19" s="6">
        <f>10+2+1</f>
        <v>13</v>
      </c>
      <c r="Y19" s="6"/>
      <c r="Z19" s="6"/>
      <c r="AA19" s="6"/>
      <c r="AB19" s="6"/>
      <c r="AC19" s="6"/>
      <c r="AD19" s="6"/>
      <c r="AE19" s="6"/>
      <c r="AF19" s="24"/>
    </row>
    <row r="20" spans="1:32" s="10" customFormat="1" ht="18" customHeight="1" x14ac:dyDescent="0.25">
      <c r="A20" s="1">
        <f>RANK(D20,D$4:D$51,0)</f>
        <v>17</v>
      </c>
      <c r="B20" s="39" t="s">
        <v>45</v>
      </c>
      <c r="C20" s="1" t="s">
        <v>38</v>
      </c>
      <c r="D20" s="1">
        <f>SUM(F20:AF20)</f>
        <v>68</v>
      </c>
      <c r="E20" s="19"/>
      <c r="F20" s="6"/>
      <c r="G20" s="6"/>
      <c r="H20" s="6"/>
      <c r="I20" s="6"/>
      <c r="J20" s="6"/>
      <c r="K20" s="1"/>
      <c r="L20" s="6"/>
      <c r="M20" s="6"/>
      <c r="N20" s="6"/>
      <c r="O20" s="6"/>
      <c r="P20" s="6"/>
      <c r="Q20" s="1"/>
      <c r="R20" s="6"/>
      <c r="S20" s="1"/>
      <c r="T20" s="6"/>
      <c r="U20" s="6"/>
      <c r="V20" s="6"/>
      <c r="W20" s="6"/>
      <c r="X20" s="6"/>
      <c r="Y20" s="6"/>
      <c r="Z20" s="6"/>
      <c r="AA20" s="6"/>
      <c r="AB20" s="1"/>
      <c r="AC20" s="6">
        <f>35+33</f>
        <v>68</v>
      </c>
      <c r="AD20" s="6"/>
      <c r="AE20" s="6"/>
      <c r="AF20" s="24"/>
    </row>
    <row r="21" spans="1:32" s="10" customFormat="1" ht="18" customHeight="1" x14ac:dyDescent="0.25">
      <c r="A21" s="1">
        <f>RANK(D21,D$4:D$51,0)</f>
        <v>18</v>
      </c>
      <c r="B21" s="5" t="s">
        <v>90</v>
      </c>
      <c r="C21" s="1" t="s">
        <v>91</v>
      </c>
      <c r="D21" s="1">
        <f>SUM(F21:AF21)</f>
        <v>54</v>
      </c>
      <c r="E21" s="19"/>
      <c r="F21" s="6"/>
      <c r="G21" s="6"/>
      <c r="H21" s="6"/>
      <c r="I21" s="6"/>
      <c r="J21" s="1">
        <f>15+5+25+9</f>
        <v>54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4"/>
    </row>
    <row r="22" spans="1:32" s="10" customFormat="1" ht="18" customHeight="1" x14ac:dyDescent="0.25">
      <c r="A22" s="1">
        <f>RANK(D22,D$4:D$51,0)</f>
        <v>19</v>
      </c>
      <c r="B22" s="5" t="s">
        <v>66</v>
      </c>
      <c r="C22" s="1" t="s">
        <v>16</v>
      </c>
      <c r="D22" s="1">
        <f>SUM(F22:AF22)</f>
        <v>39</v>
      </c>
      <c r="E22" s="19"/>
      <c r="F22" s="6"/>
      <c r="G22" s="6"/>
      <c r="H22" s="6">
        <f>6+1</f>
        <v>7</v>
      </c>
      <c r="I22" s="6"/>
      <c r="J22" s="6"/>
      <c r="K22" s="1">
        <f>8+3</f>
        <v>11</v>
      </c>
      <c r="L22" s="6"/>
      <c r="M22" s="6"/>
      <c r="N22" s="6"/>
      <c r="O22" s="6"/>
      <c r="P22" s="6">
        <v>6</v>
      </c>
      <c r="Q22" s="1"/>
      <c r="R22" s="6"/>
      <c r="S22" s="1"/>
      <c r="T22" s="6">
        <f>7+6+2</f>
        <v>15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24"/>
    </row>
    <row r="23" spans="1:32" s="10" customFormat="1" ht="18" customHeight="1" x14ac:dyDescent="0.25">
      <c r="A23" s="1">
        <f>RANK(D23,D$4:D$51,0)</f>
        <v>20</v>
      </c>
      <c r="B23" s="39" t="s">
        <v>40</v>
      </c>
      <c r="C23" s="1" t="s">
        <v>17</v>
      </c>
      <c r="D23" s="1">
        <f>SUM(F23:AF23)</f>
        <v>26</v>
      </c>
      <c r="E23" s="19"/>
      <c r="F23" s="6"/>
      <c r="G23" s="6"/>
      <c r="H23" s="6"/>
      <c r="I23" s="6"/>
      <c r="J23" s="6"/>
      <c r="K23" s="1"/>
      <c r="L23" s="6"/>
      <c r="M23" s="6"/>
      <c r="N23" s="6"/>
      <c r="O23" s="6"/>
      <c r="P23" s="6"/>
      <c r="Q23" s="1"/>
      <c r="R23" s="6"/>
      <c r="S23" s="1"/>
      <c r="T23" s="6"/>
      <c r="U23" s="6"/>
      <c r="V23" s="6"/>
      <c r="W23" s="6"/>
      <c r="X23" s="6">
        <f>9+4</f>
        <v>13</v>
      </c>
      <c r="Y23" s="6"/>
      <c r="Z23" s="6"/>
      <c r="AA23" s="6"/>
      <c r="AB23" s="1"/>
      <c r="AC23" s="6"/>
      <c r="AD23" s="6"/>
      <c r="AE23" s="6">
        <v>13</v>
      </c>
      <c r="AF23" s="24"/>
    </row>
    <row r="24" spans="1:32" s="10" customFormat="1" ht="18" customHeight="1" x14ac:dyDescent="0.25">
      <c r="A24" s="1">
        <f>RANK(D24,D$4:D$51,0)</f>
        <v>21</v>
      </c>
      <c r="B24" s="5" t="s">
        <v>93</v>
      </c>
      <c r="C24" s="1" t="s">
        <v>91</v>
      </c>
      <c r="D24" s="1">
        <f>SUM(F24:AF24)</f>
        <v>24</v>
      </c>
      <c r="E24" s="19"/>
      <c r="F24" s="6"/>
      <c r="G24" s="6"/>
      <c r="H24" s="6"/>
      <c r="I24" s="6"/>
      <c r="J24" s="1">
        <f>17+7</f>
        <v>24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24"/>
    </row>
    <row r="25" spans="1:32" s="10" customFormat="1" ht="18" customHeight="1" x14ac:dyDescent="0.25">
      <c r="A25" s="1">
        <f>RANK(D25,D$4:D$51,0)</f>
        <v>22</v>
      </c>
      <c r="B25" s="5" t="s">
        <v>80</v>
      </c>
      <c r="C25" s="1" t="s">
        <v>81</v>
      </c>
      <c r="D25" s="1">
        <f>SUM(F25:AF25)</f>
        <v>16</v>
      </c>
      <c r="E25" s="19"/>
      <c r="F25" s="6"/>
      <c r="G25" s="6"/>
      <c r="H25" s="6"/>
      <c r="I25" s="6"/>
      <c r="J25" s="6"/>
      <c r="K25" s="6"/>
      <c r="L25" s="6"/>
      <c r="M25" s="6">
        <v>16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24"/>
    </row>
    <row r="26" spans="1:32" s="10" customFormat="1" ht="18" customHeight="1" x14ac:dyDescent="0.25">
      <c r="A26" s="1">
        <f>RANK(D26,D$4:D$51,0)</f>
        <v>23</v>
      </c>
      <c r="B26" s="32" t="s">
        <v>72</v>
      </c>
      <c r="C26" s="1" t="s">
        <v>27</v>
      </c>
      <c r="D26" s="1">
        <f>SUM(F26:AF26)</f>
        <v>13</v>
      </c>
      <c r="E26" s="19"/>
      <c r="F26" s="6"/>
      <c r="G26" s="6"/>
      <c r="H26" s="6"/>
      <c r="I26" s="6"/>
      <c r="J26" s="6"/>
      <c r="K26" s="6"/>
      <c r="L26" s="6"/>
      <c r="M26" s="6">
        <v>7</v>
      </c>
      <c r="N26" s="6"/>
      <c r="O26" s="6"/>
      <c r="P26" s="6"/>
      <c r="Q26" s="1"/>
      <c r="R26" s="6"/>
      <c r="S26" s="1">
        <f>5+1</f>
        <v>6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24"/>
    </row>
    <row r="27" spans="1:32" s="10" customFormat="1" ht="18" customHeight="1" x14ac:dyDescent="0.25">
      <c r="A27" s="1">
        <f>RANK(D27,D$4:D$51,0)</f>
        <v>24</v>
      </c>
      <c r="B27" s="39" t="s">
        <v>46</v>
      </c>
      <c r="C27" s="1" t="s">
        <v>38</v>
      </c>
      <c r="D27" s="1">
        <f>SUM(F27:AF27)</f>
        <v>10</v>
      </c>
      <c r="E27" s="19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1"/>
      <c r="R27" s="6"/>
      <c r="S27" s="1"/>
      <c r="T27" s="6"/>
      <c r="U27" s="6"/>
      <c r="V27" s="6"/>
      <c r="W27" s="6"/>
      <c r="X27" s="6"/>
      <c r="Y27" s="6"/>
      <c r="Z27" s="6"/>
      <c r="AA27" s="6"/>
      <c r="AB27" s="1"/>
      <c r="AC27" s="6">
        <f>9+1</f>
        <v>10</v>
      </c>
      <c r="AD27" s="6"/>
      <c r="AE27" s="6"/>
      <c r="AF27" s="24"/>
    </row>
    <row r="28" spans="1:32" s="10" customFormat="1" ht="18" customHeight="1" x14ac:dyDescent="0.25">
      <c r="A28" s="1">
        <f>RANK(D28,D$4:D$51,0)</f>
        <v>25</v>
      </c>
      <c r="B28" s="40" t="s">
        <v>82</v>
      </c>
      <c r="C28" s="1" t="s">
        <v>83</v>
      </c>
      <c r="D28" s="1">
        <f>SUM(F28:AF28)</f>
        <v>7</v>
      </c>
      <c r="E28" s="19"/>
      <c r="F28" s="6"/>
      <c r="G28" s="6"/>
      <c r="H28" s="6"/>
      <c r="I28" s="6"/>
      <c r="J28" s="6"/>
      <c r="K28" s="6"/>
      <c r="L28" s="6">
        <f>6+1</f>
        <v>7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24"/>
    </row>
    <row r="29" spans="1:32" s="10" customFormat="1" ht="18" customHeight="1" x14ac:dyDescent="0.25">
      <c r="A29" s="1">
        <f>RANK(D29,D$4:D$51,0)</f>
        <v>26</v>
      </c>
      <c r="B29" s="39" t="s">
        <v>36</v>
      </c>
      <c r="C29" s="1" t="s">
        <v>38</v>
      </c>
      <c r="D29" s="1">
        <f>SUM(F29:AF29)</f>
        <v>6</v>
      </c>
      <c r="E29" s="19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1"/>
      <c r="R29" s="6"/>
      <c r="S29" s="1"/>
      <c r="T29" s="6"/>
      <c r="U29" s="6"/>
      <c r="V29" s="6"/>
      <c r="W29" s="6"/>
      <c r="X29" s="6"/>
      <c r="Y29" s="6"/>
      <c r="Z29" s="6"/>
      <c r="AA29" s="6"/>
      <c r="AB29" s="1"/>
      <c r="AC29" s="6">
        <f>4+2</f>
        <v>6</v>
      </c>
      <c r="AD29" s="6"/>
      <c r="AE29" s="6"/>
      <c r="AF29" s="24"/>
    </row>
    <row r="30" spans="1:32" s="10" customFormat="1" ht="18" customHeight="1" x14ac:dyDescent="0.25">
      <c r="A30" s="1">
        <f>RANK(D30,D$4:D$51,0)</f>
        <v>27</v>
      </c>
      <c r="B30" s="39" t="s">
        <v>76</v>
      </c>
      <c r="C30" s="1" t="s">
        <v>18</v>
      </c>
      <c r="D30" s="1">
        <f>SUM(F30:AF30)</f>
        <v>4</v>
      </c>
      <c r="E30" s="19"/>
      <c r="F30" s="6"/>
      <c r="G30" s="6"/>
      <c r="H30" s="6"/>
      <c r="I30" s="6"/>
      <c r="J30" s="6"/>
      <c r="K30" s="6"/>
      <c r="L30" s="6"/>
      <c r="M30" s="6"/>
      <c r="N30" s="6"/>
      <c r="O30" s="6"/>
      <c r="P30" s="6">
        <f>3+1</f>
        <v>4</v>
      </c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24"/>
    </row>
    <row r="31" spans="1:32" ht="6.9" customHeight="1" x14ac:dyDescent="0.25">
      <c r="A31" s="26"/>
      <c r="B31" s="27"/>
      <c r="C31" s="21"/>
      <c r="D31" s="28"/>
      <c r="E31" s="21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5"/>
    </row>
    <row r="32" spans="1:32" s="7" customFormat="1" ht="12.75" customHeight="1" x14ac:dyDescent="0.25">
      <c r="A32" s="12"/>
      <c r="B32" s="14"/>
      <c r="C32" s="13"/>
      <c r="D32" s="13"/>
      <c r="E32" s="13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</sheetData>
  <sheetProtection algorithmName="SHA-512" hashValue="tjMUe58aYOQs+b2mVFQfD/nQw6x12l0CTNDMkheAnlV3qNHANiU7sXRxKHUsgETmFz1vQ+FLPWZsVgt/Uz5OAw==" saltValue="tt7rR8aoajycfHQOtfz77w==" spinCount="100000" sheet="1" objects="1" scenarios="1" selectLockedCells="1" selectUnlockedCells="1"/>
  <protectedRanges>
    <protectedRange sqref="B17:C17" name="Intervalo1_3"/>
    <protectedRange sqref="B18:C18" name="Intervalo1_4"/>
    <protectedRange sqref="AA1 AA3" name="Intervalo1_1_1"/>
    <protectedRange sqref="Z3" name="Intervalo1_1_2"/>
    <protectedRange sqref="Z1:Z2" name="Intervalo1_1_1_1"/>
    <protectedRange sqref="Y3" name="Intervalo1_5"/>
    <protectedRange sqref="Y1:Y2" name="Intervalo1_1_3"/>
    <protectedRange sqref="W1:W3" name="Intervalo1_6_1"/>
    <protectedRange sqref="V1:V3" name="Intervalo1_7"/>
    <protectedRange sqref="U1:U3" name="Intervalo1"/>
    <protectedRange sqref="T1:T3" name="Intervalo1_9"/>
    <protectedRange sqref="B25:C25" name="Intervalo1_4_1"/>
    <protectedRange sqref="Q1" name="Intervalo1_6"/>
    <protectedRange sqref="P1 P3" name="Intervalo1_2_1"/>
    <protectedRange sqref="B26:C26" name="Intervalo1_8"/>
    <protectedRange sqref="N3" name="Intervalo1_9_1"/>
    <protectedRange sqref="N1" name="Intervalo1_7_1_1"/>
    <protectedRange sqref="M3" name="Intervalo1_9_1_1"/>
    <protectedRange sqref="M1" name="Intervalo1_7_1_1_1"/>
    <protectedRange sqref="B27:C27 B29:C30" name="Intervalo1_15"/>
    <protectedRange sqref="L1:L3" name="Intervalo1_11"/>
    <protectedRange sqref="B28:C28" name="Intervalo1_7_1"/>
  </protectedRanges>
  <mergeCells count="29">
    <mergeCell ref="J1:J2"/>
    <mergeCell ref="Y1:Y2"/>
    <mergeCell ref="AJ3:AJ7"/>
    <mergeCell ref="AE1:AE2"/>
    <mergeCell ref="AC1:AC2"/>
    <mergeCell ref="AD1:AD2"/>
    <mergeCell ref="AB1:AB2"/>
    <mergeCell ref="AA1:AA2"/>
    <mergeCell ref="Z1:Z2"/>
    <mergeCell ref="L1:L2"/>
    <mergeCell ref="X1:X2"/>
    <mergeCell ref="W1:W2"/>
    <mergeCell ref="O1:O2"/>
    <mergeCell ref="N1:N2"/>
    <mergeCell ref="A2:D2"/>
    <mergeCell ref="A1:D1"/>
    <mergeCell ref="F1:F2"/>
    <mergeCell ref="V1:V2"/>
    <mergeCell ref="U1:U2"/>
    <mergeCell ref="T1:T2"/>
    <mergeCell ref="H1:H2"/>
    <mergeCell ref="G1:G2"/>
    <mergeCell ref="M1:M2"/>
    <mergeCell ref="R1:R2"/>
    <mergeCell ref="S1:S2"/>
    <mergeCell ref="Q1:Q2"/>
    <mergeCell ref="P1:P2"/>
    <mergeCell ref="I1:I2"/>
    <mergeCell ref="K1:K2"/>
  </mergeCells>
  <conditionalFormatting sqref="B1:B3 B31:B65531">
    <cfRule type="expression" dxfId="26" priority="14" stopIfTrue="1">
      <formula>AND(COUNTIF(#REF!, B1)+COUNTIF($B$1:$B$7, B1)&gt;1,NOT(ISBLANK(B1)))</formula>
    </cfRule>
  </conditionalFormatting>
  <conditionalFormatting sqref="B1:B14 B19:B24 B31:B65531">
    <cfRule type="expression" dxfId="25" priority="45" stopIfTrue="1">
      <formula>AND(COUNTIF($B$1:$B$14, B1)+COUNTIF($B$16:$B$65531, B1)&gt;1,NOT(ISBLANK(B1)))</formula>
    </cfRule>
  </conditionalFormatting>
  <conditionalFormatting sqref="B10 B19:B24">
    <cfRule type="expression" dxfId="24" priority="48" stopIfTrue="1">
      <formula>AND(COUNTIF($B$10:$B$10, B10)+COUNTIF($B$16:$B$30, B10)&gt;1,NOT(ISBLANK(B10)))</formula>
    </cfRule>
  </conditionalFormatting>
  <conditionalFormatting sqref="AI9:AI11">
    <cfRule type="duplicateValues" dxfId="23" priority="50" stopIfTrue="1"/>
    <cfRule type="expression" dxfId="22" priority="51" stopIfTrue="1">
      <formula>AND(COUNTIF($B$1:$C$2, AI9)+COUNTIF($B$4:$C$4, AI9)+COUNTIF(#REF!, AI9)&gt;1,NOT(ISBLANK(AI9)))</formula>
    </cfRule>
    <cfRule type="expression" dxfId="21" priority="52" stopIfTrue="1">
      <formula>AND(COUNTIF($B$219:$C$220, AI9)+COUNTIF(#REF!, AI9)+COUNTIF($B$9:$C$114, AI9)&gt;1,NOT(ISBLANK(AI9)))</formula>
    </cfRule>
    <cfRule type="expression" dxfId="20" priority="53" stopIfTrue="1">
      <formula>AND(COUNTIF($C$219:$C$220, AI9)+COUNTIF(#REF!, AI9)+COUNTIF($C$1:$C$114, AI9)&gt;1,NOT(ISBLANK(AI9)))</formula>
    </cfRule>
    <cfRule type="expression" dxfId="19" priority="54" stopIfTrue="1">
      <formula>AND(COUNTIF(#REF!, AI9)+COUNTIF($B$5:$C$114, AI9)&gt;1,NOT(ISBLANK(AI9)))</formula>
    </cfRule>
    <cfRule type="expression" dxfId="18" priority="55" stopIfTrue="1">
      <formula>AND(COUNTIF($B$5:$C$147, AI9)+COUNTIF($B$149:$C$218, AI9)&gt;1,NOT(ISBLANK(AI9)))</formula>
    </cfRule>
    <cfRule type="duplicateValues" dxfId="17" priority="56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B17C-CCCE-4683-8E04-07AD7E4FAAD2}">
  <sheetPr codeName="Planilha2"/>
  <dimension ref="A1:Z28"/>
  <sheetViews>
    <sheetView showGridLines="0" zoomScale="80" zoomScaleNormal="80" workbookViewId="0">
      <selection activeCell="N1" sqref="N1:N2"/>
    </sheetView>
  </sheetViews>
  <sheetFormatPr defaultColWidth="9.109375" defaultRowHeight="13.8" x14ac:dyDescent="0.25"/>
  <cols>
    <col min="1" max="1" width="5.6640625" style="8" bestFit="1" customWidth="1"/>
    <col min="2" max="2" width="61.5546875" style="9" customWidth="1"/>
    <col min="3" max="3" width="6.6640625" style="2" customWidth="1"/>
    <col min="4" max="4" width="7" style="2" customWidth="1"/>
    <col min="5" max="5" width="1" style="2" customWidth="1"/>
    <col min="6" max="16" width="6.6640625" style="11" customWidth="1"/>
    <col min="17" max="17" width="7.109375" style="11" customWidth="1"/>
    <col min="18" max="21" width="6.6640625" style="11" customWidth="1"/>
    <col min="22" max="22" width="7.33203125" style="11" customWidth="1"/>
    <col min="23" max="23" width="7.44140625" style="11" customWidth="1"/>
    <col min="24" max="25" width="6.6640625" style="11" customWidth="1"/>
    <col min="26" max="26" width="1" style="3" customWidth="1"/>
    <col min="27" max="27" width="9.109375" style="3"/>
    <col min="28" max="28" width="35.5546875" style="3" bestFit="1" customWidth="1"/>
    <col min="29" max="16384" width="9.109375" style="3"/>
  </cols>
  <sheetData>
    <row r="1" spans="1:26" ht="85.5" customHeight="1" x14ac:dyDescent="0.25">
      <c r="A1" s="55"/>
      <c r="B1" s="56"/>
      <c r="C1" s="56"/>
      <c r="D1" s="57"/>
      <c r="E1" s="16"/>
      <c r="F1" s="58" t="s">
        <v>101</v>
      </c>
      <c r="G1" s="58" t="s">
        <v>96</v>
      </c>
      <c r="H1" s="68" t="s">
        <v>95</v>
      </c>
      <c r="I1" s="70" t="s">
        <v>92</v>
      </c>
      <c r="J1" s="58" t="s">
        <v>89</v>
      </c>
      <c r="K1" s="64" t="s">
        <v>84</v>
      </c>
      <c r="L1" s="64" t="s">
        <v>79</v>
      </c>
      <c r="M1" s="64" t="s">
        <v>78</v>
      </c>
      <c r="N1" s="70" t="s">
        <v>77</v>
      </c>
      <c r="O1" s="60" t="s">
        <v>74</v>
      </c>
      <c r="P1" s="66" t="s">
        <v>67</v>
      </c>
      <c r="Q1" s="66" t="s">
        <v>68</v>
      </c>
      <c r="R1" s="62" t="s">
        <v>65</v>
      </c>
      <c r="S1" s="60" t="s">
        <v>59</v>
      </c>
      <c r="T1" s="60" t="s">
        <v>55</v>
      </c>
      <c r="U1" s="60" t="s">
        <v>47</v>
      </c>
      <c r="V1" s="68" t="s">
        <v>14</v>
      </c>
      <c r="W1" s="64" t="s">
        <v>13</v>
      </c>
      <c r="X1" s="64" t="s">
        <v>11</v>
      </c>
      <c r="Y1" s="68" t="s">
        <v>30</v>
      </c>
      <c r="Z1" s="16"/>
    </row>
    <row r="2" spans="1:26" s="4" customFormat="1" ht="93" customHeight="1" x14ac:dyDescent="0.25">
      <c r="A2" s="52" t="s">
        <v>100</v>
      </c>
      <c r="B2" s="53"/>
      <c r="C2" s="53"/>
      <c r="D2" s="54"/>
      <c r="E2" s="17"/>
      <c r="F2" s="59"/>
      <c r="G2" s="59"/>
      <c r="H2" s="69"/>
      <c r="I2" s="71"/>
      <c r="J2" s="59"/>
      <c r="K2" s="65"/>
      <c r="L2" s="65"/>
      <c r="M2" s="65"/>
      <c r="N2" s="71"/>
      <c r="O2" s="61"/>
      <c r="P2" s="67"/>
      <c r="Q2" s="67"/>
      <c r="R2" s="63"/>
      <c r="S2" s="61"/>
      <c r="T2" s="61"/>
      <c r="U2" s="61"/>
      <c r="V2" s="69"/>
      <c r="W2" s="65"/>
      <c r="X2" s="65"/>
      <c r="Y2" s="73"/>
      <c r="Z2" s="22"/>
    </row>
    <row r="3" spans="1:26" ht="18" customHeight="1" x14ac:dyDescent="0.25">
      <c r="A3" s="15" t="s">
        <v>0</v>
      </c>
      <c r="B3" s="15" t="s">
        <v>1</v>
      </c>
      <c r="C3" s="15" t="s">
        <v>2</v>
      </c>
      <c r="D3" s="15" t="s">
        <v>7</v>
      </c>
      <c r="E3" s="18"/>
      <c r="F3" s="44">
        <v>46250</v>
      </c>
      <c r="G3" s="44">
        <v>46240</v>
      </c>
      <c r="H3" s="44">
        <v>46236</v>
      </c>
      <c r="I3" s="38">
        <v>46229</v>
      </c>
      <c r="J3" s="44">
        <v>46212</v>
      </c>
      <c r="K3" s="37">
        <v>46201</v>
      </c>
      <c r="L3" s="37">
        <v>46200</v>
      </c>
      <c r="M3" s="37">
        <v>46198</v>
      </c>
      <c r="N3" s="38">
        <v>46194</v>
      </c>
      <c r="O3" s="44">
        <v>46186</v>
      </c>
      <c r="P3" s="51">
        <v>46173</v>
      </c>
      <c r="Q3" s="51">
        <v>46173</v>
      </c>
      <c r="R3" s="45">
        <v>46166</v>
      </c>
      <c r="S3" s="37">
        <v>46145</v>
      </c>
      <c r="T3" s="38">
        <v>46143</v>
      </c>
      <c r="U3" s="38">
        <v>46131</v>
      </c>
      <c r="V3" s="37">
        <v>46103</v>
      </c>
      <c r="W3" s="37">
        <v>46089</v>
      </c>
      <c r="X3" s="37">
        <v>46068</v>
      </c>
      <c r="Y3" s="37">
        <v>46068</v>
      </c>
      <c r="Z3" s="23"/>
    </row>
    <row r="4" spans="1:26" s="10" customFormat="1" ht="18" customHeight="1" x14ac:dyDescent="0.25">
      <c r="A4" s="1">
        <f>RANK(D4,D$4:D$53,0)</f>
        <v>1</v>
      </c>
      <c r="B4" s="40" t="s">
        <v>31</v>
      </c>
      <c r="C4" s="1" t="s">
        <v>16</v>
      </c>
      <c r="D4" s="1">
        <f>SUM(F4:Y4)</f>
        <v>1056</v>
      </c>
      <c r="E4" s="20"/>
      <c r="F4" s="47"/>
      <c r="G4" s="47"/>
      <c r="H4" s="47"/>
      <c r="I4" s="47"/>
      <c r="J4" s="47">
        <f>55+70+7</f>
        <v>132</v>
      </c>
      <c r="K4" s="47"/>
      <c r="L4" s="47">
        <f>180+120+55+36</f>
        <v>391</v>
      </c>
      <c r="M4" s="47">
        <f>90+30</f>
        <v>120</v>
      </c>
      <c r="N4" s="47"/>
      <c r="O4" s="47"/>
      <c r="P4" s="47"/>
      <c r="Q4" s="47"/>
      <c r="R4" s="35"/>
      <c r="S4" s="35"/>
      <c r="T4" s="35">
        <f>70+40+20+6</f>
        <v>136</v>
      </c>
      <c r="U4" s="35">
        <f>37+25+4+1</f>
        <v>67</v>
      </c>
      <c r="V4" s="1"/>
      <c r="W4" s="1"/>
      <c r="X4" s="1"/>
      <c r="Y4" s="1">
        <f>60+55+50+45</f>
        <v>210</v>
      </c>
      <c r="Z4" s="20"/>
    </row>
    <row r="5" spans="1:26" s="10" customFormat="1" ht="18" customHeight="1" x14ac:dyDescent="0.25">
      <c r="A5" s="1">
        <f>RANK(D5,D$4:D$53,0)</f>
        <v>2</v>
      </c>
      <c r="B5" s="40" t="s">
        <v>33</v>
      </c>
      <c r="C5" s="36" t="s">
        <v>17</v>
      </c>
      <c r="D5" s="1">
        <f>SUM(F5:Y5)</f>
        <v>853</v>
      </c>
      <c r="E5" s="20"/>
      <c r="F5" s="1">
        <f>60+40+20+15</f>
        <v>135</v>
      </c>
      <c r="G5" s="1"/>
      <c r="H5" s="1"/>
      <c r="I5" s="1"/>
      <c r="J5" s="1"/>
      <c r="K5" s="1"/>
      <c r="L5" s="1">
        <f>150+5</f>
        <v>155</v>
      </c>
      <c r="M5" s="1">
        <f>110+60</f>
        <v>170</v>
      </c>
      <c r="N5" s="1">
        <f>80+70+60+20</f>
        <v>230</v>
      </c>
      <c r="O5" s="1"/>
      <c r="P5" s="1"/>
      <c r="Q5" s="1"/>
      <c r="R5" s="1"/>
      <c r="S5" s="1">
        <f>60+40+10</f>
        <v>110</v>
      </c>
      <c r="T5" s="1"/>
      <c r="U5" s="1"/>
      <c r="V5" s="1"/>
      <c r="W5" s="1"/>
      <c r="X5" s="1">
        <f>40+13</f>
        <v>53</v>
      </c>
      <c r="Y5" s="1"/>
      <c r="Z5" s="20"/>
    </row>
    <row r="6" spans="1:26" s="10" customFormat="1" ht="18" customHeight="1" x14ac:dyDescent="0.25">
      <c r="A6" s="1">
        <f>RANK(D6,D$4:D$53,0)</f>
        <v>3</v>
      </c>
      <c r="B6" s="32" t="s">
        <v>5</v>
      </c>
      <c r="C6" s="1" t="s">
        <v>17</v>
      </c>
      <c r="D6" s="1">
        <f>SUM(F6:Y6)</f>
        <v>660</v>
      </c>
      <c r="E6" s="20"/>
      <c r="F6" s="1">
        <f>55+33</f>
        <v>88</v>
      </c>
      <c r="G6" s="1"/>
      <c r="H6" s="1"/>
      <c r="I6" s="1"/>
      <c r="J6" s="1"/>
      <c r="K6" s="1"/>
      <c r="L6" s="1">
        <f>65+13+12</f>
        <v>90</v>
      </c>
      <c r="M6" s="1">
        <f>25+15</f>
        <v>40</v>
      </c>
      <c r="N6" s="1">
        <f>75+65+55</f>
        <v>195</v>
      </c>
      <c r="O6" s="1">
        <f>70+45+6</f>
        <v>121</v>
      </c>
      <c r="P6" s="1"/>
      <c r="Q6" s="1"/>
      <c r="R6" s="1"/>
      <c r="S6" s="1"/>
      <c r="T6" s="1"/>
      <c r="U6" s="1">
        <f>35+10</f>
        <v>45</v>
      </c>
      <c r="V6" s="1"/>
      <c r="W6" s="1"/>
      <c r="X6" s="1">
        <f>30+17+25+9</f>
        <v>81</v>
      </c>
      <c r="Y6" s="1"/>
      <c r="Z6" s="20"/>
    </row>
    <row r="7" spans="1:26" s="10" customFormat="1" ht="18" customHeight="1" x14ac:dyDescent="0.25">
      <c r="A7" s="1">
        <f>RANK(D7,D$4:D$53,0)</f>
        <v>4</v>
      </c>
      <c r="B7" s="40" t="s">
        <v>51</v>
      </c>
      <c r="C7" s="1" t="s">
        <v>16</v>
      </c>
      <c r="D7" s="1">
        <f>SUM(F7:Y7)</f>
        <v>540</v>
      </c>
      <c r="E7" s="20"/>
      <c r="F7" s="1"/>
      <c r="G7" s="1"/>
      <c r="H7" s="1"/>
      <c r="I7" s="1"/>
      <c r="J7" s="1">
        <f>15+60+3</f>
        <v>78</v>
      </c>
      <c r="K7" s="1"/>
      <c r="L7" s="1">
        <f>100+11</f>
        <v>111</v>
      </c>
      <c r="M7" s="1">
        <v>8</v>
      </c>
      <c r="N7" s="1"/>
      <c r="O7" s="1"/>
      <c r="P7" s="1">
        <f>60+55</f>
        <v>115</v>
      </c>
      <c r="Q7" s="1"/>
      <c r="R7" s="1"/>
      <c r="S7" s="1"/>
      <c r="T7" s="1">
        <f>80+50+15+3</f>
        <v>148</v>
      </c>
      <c r="U7" s="1">
        <f>60+20</f>
        <v>80</v>
      </c>
      <c r="V7" s="1"/>
      <c r="W7" s="1"/>
      <c r="X7" s="1"/>
      <c r="Y7" s="1"/>
      <c r="Z7" s="20"/>
    </row>
    <row r="8" spans="1:26" s="10" customFormat="1" ht="18" customHeight="1" x14ac:dyDescent="0.25">
      <c r="A8" s="1">
        <f>RANK(D8,D$4:D$53,0)</f>
        <v>5</v>
      </c>
      <c r="B8" s="32" t="s">
        <v>12</v>
      </c>
      <c r="C8" s="1" t="s">
        <v>17</v>
      </c>
      <c r="D8" s="1">
        <f>SUM(F8:Y8)</f>
        <v>490</v>
      </c>
      <c r="E8" s="20"/>
      <c r="F8" s="1"/>
      <c r="G8" s="1"/>
      <c r="H8" s="1">
        <f>17+13</f>
        <v>30</v>
      </c>
      <c r="I8" s="1"/>
      <c r="J8" s="1"/>
      <c r="K8" s="1"/>
      <c r="L8" s="1">
        <v>3</v>
      </c>
      <c r="M8" s="1"/>
      <c r="N8" s="1">
        <f>50+45+35</f>
        <v>130</v>
      </c>
      <c r="O8" s="1">
        <f>9+7+1</f>
        <v>17</v>
      </c>
      <c r="P8" s="1"/>
      <c r="Q8" s="1"/>
      <c r="R8" s="1"/>
      <c r="S8" s="1">
        <f>50+40+9</f>
        <v>99</v>
      </c>
      <c r="T8" s="1"/>
      <c r="U8" s="1"/>
      <c r="V8" s="1">
        <f>55+45+37+35</f>
        <v>172</v>
      </c>
      <c r="W8" s="1"/>
      <c r="X8" s="1">
        <f>20+15+4</f>
        <v>39</v>
      </c>
      <c r="Y8" s="1"/>
      <c r="Z8" s="20"/>
    </row>
    <row r="9" spans="1:26" s="10" customFormat="1" ht="18" customHeight="1" x14ac:dyDescent="0.25">
      <c r="A9" s="1">
        <f>RANK(D9,D$4:D$53,0)</f>
        <v>6</v>
      </c>
      <c r="B9" s="40" t="s">
        <v>3</v>
      </c>
      <c r="C9" s="1" t="s">
        <v>16</v>
      </c>
      <c r="D9" s="1">
        <f>SUM(F9:Y9)</f>
        <v>440</v>
      </c>
      <c r="E9" s="20"/>
      <c r="F9" s="1"/>
      <c r="G9" s="1"/>
      <c r="H9" s="1"/>
      <c r="I9" s="1"/>
      <c r="J9" s="1"/>
      <c r="K9" s="1"/>
      <c r="L9" s="1">
        <f>25+16+14+6</f>
        <v>61</v>
      </c>
      <c r="M9" s="1">
        <f>70+40</f>
        <v>110</v>
      </c>
      <c r="N9" s="1"/>
      <c r="O9" s="1"/>
      <c r="P9" s="1"/>
      <c r="Q9" s="1"/>
      <c r="R9" s="1"/>
      <c r="S9" s="1"/>
      <c r="T9" s="1">
        <f>55+35+25+4</f>
        <v>119</v>
      </c>
      <c r="U9" s="1">
        <f>55+40+31+5</f>
        <v>131</v>
      </c>
      <c r="V9" s="1"/>
      <c r="W9" s="1">
        <f>8+6+5</f>
        <v>19</v>
      </c>
      <c r="X9" s="1"/>
      <c r="Y9" s="1"/>
      <c r="Z9" s="20"/>
    </row>
    <row r="10" spans="1:26" s="10" customFormat="1" ht="18" customHeight="1" x14ac:dyDescent="0.25">
      <c r="A10" s="1">
        <f>RANK(D10,D$4:D$53,0)</f>
        <v>7</v>
      </c>
      <c r="B10" s="32" t="s">
        <v>32</v>
      </c>
      <c r="C10" s="1" t="s">
        <v>16</v>
      </c>
      <c r="D10" s="1">
        <f>SUM(F10:Y10)</f>
        <v>412.5</v>
      </c>
      <c r="E10" s="20"/>
      <c r="F10" s="1"/>
      <c r="G10" s="1"/>
      <c r="H10" s="1"/>
      <c r="I10" s="1"/>
      <c r="J10" s="1">
        <f>10+50</f>
        <v>60</v>
      </c>
      <c r="K10" s="1"/>
      <c r="L10" s="1"/>
      <c r="M10" s="1">
        <f>45+5</f>
        <v>50</v>
      </c>
      <c r="N10" s="1"/>
      <c r="O10" s="1">
        <f>75+40</f>
        <v>115</v>
      </c>
      <c r="P10" s="1">
        <f>45+40</f>
        <v>85</v>
      </c>
      <c r="Q10" s="1"/>
      <c r="R10" s="1">
        <f>4.5+4</f>
        <v>8.5</v>
      </c>
      <c r="S10" s="1"/>
      <c r="T10" s="1">
        <v>8</v>
      </c>
      <c r="U10" s="1">
        <f>8+2</f>
        <v>10</v>
      </c>
      <c r="V10" s="1"/>
      <c r="W10" s="1">
        <f>3</f>
        <v>3</v>
      </c>
      <c r="X10" s="1"/>
      <c r="Y10" s="1">
        <f>40+33</f>
        <v>73</v>
      </c>
      <c r="Z10" s="20"/>
    </row>
    <row r="11" spans="1:26" s="10" customFormat="1" ht="18" customHeight="1" x14ac:dyDescent="0.25">
      <c r="A11" s="1">
        <f>RANK(D11,D$4:D$53,0)</f>
        <v>8</v>
      </c>
      <c r="B11" s="39" t="s">
        <v>50</v>
      </c>
      <c r="C11" s="1" t="s">
        <v>16</v>
      </c>
      <c r="D11" s="1">
        <f>SUM(F11:Y11)</f>
        <v>321</v>
      </c>
      <c r="E11" s="20"/>
      <c r="F11" s="1"/>
      <c r="G11" s="1"/>
      <c r="H11" s="1"/>
      <c r="I11" s="1"/>
      <c r="J11" s="1">
        <f>80+65+5+2</f>
        <v>152</v>
      </c>
      <c r="K11" s="1"/>
      <c r="L11" s="1">
        <f>10+7</f>
        <v>17</v>
      </c>
      <c r="M11" s="1"/>
      <c r="N11" s="1"/>
      <c r="O11" s="1"/>
      <c r="P11" s="1"/>
      <c r="Q11" s="1"/>
      <c r="R11" s="1"/>
      <c r="S11" s="1"/>
      <c r="T11" s="1">
        <f>60+2</f>
        <v>62</v>
      </c>
      <c r="U11" s="1">
        <f>50+33+7</f>
        <v>90</v>
      </c>
      <c r="V11" s="1"/>
      <c r="W11" s="1"/>
      <c r="X11" s="1"/>
      <c r="Y11" s="1"/>
      <c r="Z11" s="20"/>
    </row>
    <row r="12" spans="1:26" s="10" customFormat="1" ht="18" customHeight="1" x14ac:dyDescent="0.25">
      <c r="A12" s="1">
        <f>RANK(D12,D$4:D$53,0)</f>
        <v>9</v>
      </c>
      <c r="B12" s="32" t="s">
        <v>34</v>
      </c>
      <c r="C12" s="1" t="s">
        <v>17</v>
      </c>
      <c r="D12" s="1">
        <f>SUM(F12:Y12)</f>
        <v>303</v>
      </c>
      <c r="E12" s="20"/>
      <c r="F12" s="1">
        <f>50+30</f>
        <v>80</v>
      </c>
      <c r="G12" s="1"/>
      <c r="H12" s="1">
        <f>40+25</f>
        <v>65</v>
      </c>
      <c r="I12" s="1"/>
      <c r="J12" s="1"/>
      <c r="K12" s="1"/>
      <c r="L12" s="1">
        <f>2+1</f>
        <v>3</v>
      </c>
      <c r="M12" s="1"/>
      <c r="N12" s="1"/>
      <c r="O12" s="1">
        <f>55+3</f>
        <v>58</v>
      </c>
      <c r="P12" s="1"/>
      <c r="Q12" s="1"/>
      <c r="R12" s="1"/>
      <c r="S12" s="1">
        <f>55+33</f>
        <v>88</v>
      </c>
      <c r="T12" s="1"/>
      <c r="U12" s="1"/>
      <c r="V12" s="1"/>
      <c r="W12" s="1"/>
      <c r="X12" s="1">
        <f>7+2</f>
        <v>9</v>
      </c>
      <c r="Y12" s="1"/>
      <c r="Z12" s="20"/>
    </row>
    <row r="13" spans="1:26" s="10" customFormat="1" ht="18" customHeight="1" x14ac:dyDescent="0.25">
      <c r="A13" s="1">
        <f>RANK(D13,D$4:D$53,0)</f>
        <v>10</v>
      </c>
      <c r="B13" s="32" t="s">
        <v>35</v>
      </c>
      <c r="C13" s="1" t="s">
        <v>16</v>
      </c>
      <c r="D13" s="1">
        <f>SUM(F13:Y13)</f>
        <v>195</v>
      </c>
      <c r="E13" s="20"/>
      <c r="F13" s="1"/>
      <c r="G13" s="1"/>
      <c r="H13" s="1"/>
      <c r="I13" s="1"/>
      <c r="J13" s="1">
        <f>35+25+45+6</f>
        <v>111</v>
      </c>
      <c r="K13" s="1"/>
      <c r="L13" s="1"/>
      <c r="M13" s="1"/>
      <c r="N13" s="1"/>
      <c r="O13" s="1">
        <f>35+10</f>
        <v>45</v>
      </c>
      <c r="P13" s="1"/>
      <c r="Q13" s="1"/>
      <c r="R13" s="1"/>
      <c r="S13" s="1"/>
      <c r="T13" s="1">
        <f>9+5</f>
        <v>14</v>
      </c>
      <c r="U13" s="1">
        <f>9+6</f>
        <v>15</v>
      </c>
      <c r="V13" s="1"/>
      <c r="W13" s="1">
        <f>7+2+1</f>
        <v>10</v>
      </c>
      <c r="X13" s="1"/>
      <c r="Y13" s="1"/>
      <c r="Z13" s="20"/>
    </row>
    <row r="14" spans="1:26" s="10" customFormat="1" ht="18" customHeight="1" x14ac:dyDescent="0.25">
      <c r="A14" s="1">
        <f>RANK(D14,D$4:D$53,0)</f>
        <v>11</v>
      </c>
      <c r="B14" s="48" t="s">
        <v>72</v>
      </c>
      <c r="C14" s="1" t="s">
        <v>27</v>
      </c>
      <c r="D14" s="1">
        <f>SUM(F14:Y14)</f>
        <v>180</v>
      </c>
      <c r="E14" s="20"/>
      <c r="F14" s="1"/>
      <c r="G14" s="1"/>
      <c r="H14" s="1"/>
      <c r="I14" s="1"/>
      <c r="J14" s="1"/>
      <c r="K14" s="1"/>
      <c r="L14" s="1">
        <v>45</v>
      </c>
      <c r="M14" s="1"/>
      <c r="N14" s="1"/>
      <c r="O14" s="1">
        <f>65+60</f>
        <v>125</v>
      </c>
      <c r="P14" s="1"/>
      <c r="Q14" s="1">
        <v>10</v>
      </c>
      <c r="R14" s="1"/>
      <c r="S14" s="1"/>
      <c r="T14" s="1"/>
      <c r="U14" s="1"/>
      <c r="V14" s="1"/>
      <c r="W14" s="1"/>
      <c r="X14" s="1"/>
      <c r="Y14" s="1"/>
      <c r="Z14" s="20"/>
    </row>
    <row r="15" spans="1:26" s="10" customFormat="1" ht="18" customHeight="1" x14ac:dyDescent="0.25">
      <c r="A15" s="1">
        <f>RANK(D15,D$4:D$53,0)</f>
        <v>12</v>
      </c>
      <c r="B15" s="32" t="s">
        <v>41</v>
      </c>
      <c r="C15" s="1" t="s">
        <v>16</v>
      </c>
      <c r="D15" s="1">
        <f>SUM(F15:Y15)</f>
        <v>157</v>
      </c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>
        <f>75+7</f>
        <v>82</v>
      </c>
      <c r="U15" s="1">
        <f>45+30</f>
        <v>75</v>
      </c>
      <c r="V15" s="1"/>
      <c r="W15" s="1"/>
      <c r="X15" s="1"/>
      <c r="Y15" s="1"/>
      <c r="Z15" s="20"/>
    </row>
    <row r="16" spans="1:26" s="10" customFormat="1" ht="18" customHeight="1" x14ac:dyDescent="0.25">
      <c r="A16" s="1">
        <f>RANK(D16,D$4:D$53,0)</f>
        <v>13</v>
      </c>
      <c r="B16" s="34" t="s">
        <v>97</v>
      </c>
      <c r="C16" s="36" t="s">
        <v>18</v>
      </c>
      <c r="D16" s="1">
        <f>SUM(F16:Y16)</f>
        <v>110</v>
      </c>
      <c r="E16" s="20"/>
      <c r="F16" s="1"/>
      <c r="G16" s="1">
        <f>70+40</f>
        <v>110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0"/>
    </row>
    <row r="17" spans="1:26" s="10" customFormat="1" ht="18" customHeight="1" x14ac:dyDescent="0.25">
      <c r="A17" s="1">
        <f>RANK(D17,D$4:D$53,0)</f>
        <v>14</v>
      </c>
      <c r="B17" s="39" t="s">
        <v>37</v>
      </c>
      <c r="C17" s="1" t="s">
        <v>38</v>
      </c>
      <c r="D17" s="1">
        <f>SUM(F17:Y17)</f>
        <v>56</v>
      </c>
      <c r="E17" s="2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>
        <f>31+25</f>
        <v>56</v>
      </c>
      <c r="W17" s="1"/>
      <c r="X17" s="1"/>
      <c r="Y17" s="1"/>
      <c r="Z17" s="20"/>
    </row>
    <row r="18" spans="1:26" s="10" customFormat="1" ht="18" customHeight="1" x14ac:dyDescent="0.25">
      <c r="A18" s="1">
        <f>RANK(D18,D$4:D$53,0)</f>
        <v>15</v>
      </c>
      <c r="B18" s="5" t="s">
        <v>6</v>
      </c>
      <c r="C18" s="1" t="s">
        <v>17</v>
      </c>
      <c r="D18" s="1">
        <f>SUM(F18:Y18)</f>
        <v>52</v>
      </c>
      <c r="E18" s="20"/>
      <c r="F18" s="1"/>
      <c r="G18" s="1"/>
      <c r="H18" s="1"/>
      <c r="I18" s="1"/>
      <c r="J18" s="1"/>
      <c r="K18" s="1"/>
      <c r="L18" s="1"/>
      <c r="M18" s="1"/>
      <c r="N18" s="1">
        <f>15+9</f>
        <v>24</v>
      </c>
      <c r="O18" s="1"/>
      <c r="P18" s="1"/>
      <c r="Q18" s="1"/>
      <c r="R18" s="1"/>
      <c r="S18" s="1">
        <f>20+8</f>
        <v>28</v>
      </c>
      <c r="T18" s="1"/>
      <c r="U18" s="1"/>
      <c r="V18" s="1"/>
      <c r="W18" s="1"/>
      <c r="X18" s="1"/>
      <c r="Y18" s="1"/>
      <c r="Z18" s="20"/>
    </row>
    <row r="19" spans="1:26" s="10" customFormat="1" ht="18" customHeight="1" x14ac:dyDescent="0.25">
      <c r="A19" s="1">
        <f>RANK(D19,D$4:D$53,0)</f>
        <v>16</v>
      </c>
      <c r="B19" s="34" t="s">
        <v>94</v>
      </c>
      <c r="C19" s="36" t="s">
        <v>91</v>
      </c>
      <c r="D19" s="1">
        <f>SUM(F19:Y19)</f>
        <v>50</v>
      </c>
      <c r="E19" s="20"/>
      <c r="F19" s="1"/>
      <c r="G19" s="1"/>
      <c r="H19" s="1"/>
      <c r="I19" s="1">
        <f>30+20</f>
        <v>50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0"/>
    </row>
    <row r="20" spans="1:26" s="10" customFormat="1" ht="18" customHeight="1" x14ac:dyDescent="0.25">
      <c r="A20" s="1">
        <f>RANK(D20,D$4:D$53,0)</f>
        <v>17</v>
      </c>
      <c r="B20" s="40" t="s">
        <v>36</v>
      </c>
      <c r="C20" s="1" t="s">
        <v>38</v>
      </c>
      <c r="D20" s="1">
        <f>SUM(F20:Y20)</f>
        <v>40</v>
      </c>
      <c r="E20" s="2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>
        <v>40</v>
      </c>
      <c r="W20" s="1"/>
      <c r="X20" s="1"/>
      <c r="Y20" s="1"/>
      <c r="Z20" s="20"/>
    </row>
    <row r="21" spans="1:26" s="10" customFormat="1" ht="18" customHeight="1" x14ac:dyDescent="0.25">
      <c r="A21" s="1">
        <f>RANK(D21,D$4:D$53,0)</f>
        <v>18</v>
      </c>
      <c r="B21" s="39" t="s">
        <v>73</v>
      </c>
      <c r="C21" s="1" t="s">
        <v>27</v>
      </c>
      <c r="D21" s="1">
        <f>SUM(F21:Y21)</f>
        <v>30</v>
      </c>
      <c r="E21" s="20"/>
      <c r="F21" s="1"/>
      <c r="G21" s="1"/>
      <c r="H21" s="1"/>
      <c r="I21" s="1"/>
      <c r="J21" s="1"/>
      <c r="K21" s="1"/>
      <c r="L21" s="1">
        <v>22</v>
      </c>
      <c r="M21" s="1"/>
      <c r="N21" s="1"/>
      <c r="O21" s="1"/>
      <c r="P21" s="1"/>
      <c r="Q21" s="1">
        <v>8</v>
      </c>
      <c r="R21" s="1"/>
      <c r="S21" s="1"/>
      <c r="T21" s="1"/>
      <c r="U21" s="1"/>
      <c r="V21" s="1"/>
      <c r="W21" s="1"/>
      <c r="X21" s="1"/>
      <c r="Y21" s="1"/>
      <c r="Z21" s="20"/>
    </row>
    <row r="22" spans="1:26" s="10" customFormat="1" ht="18" customHeight="1" x14ac:dyDescent="0.25">
      <c r="A22" s="1">
        <f>RANK(D22,D$4:D$53,0)</f>
        <v>19</v>
      </c>
      <c r="B22" s="34" t="s">
        <v>57</v>
      </c>
      <c r="C22" s="36" t="s">
        <v>27</v>
      </c>
      <c r="D22" s="1">
        <f>SUM(F22:Y22)</f>
        <v>19</v>
      </c>
      <c r="E22" s="20"/>
      <c r="F22" s="1"/>
      <c r="G22" s="1"/>
      <c r="H22" s="1"/>
      <c r="I22" s="1"/>
      <c r="J22" s="1"/>
      <c r="K22" s="1"/>
      <c r="L22" s="1">
        <v>9</v>
      </c>
      <c r="M22" s="1"/>
      <c r="N22" s="1"/>
      <c r="O22" s="1"/>
      <c r="P22" s="1"/>
      <c r="Q22" s="1"/>
      <c r="R22" s="1"/>
      <c r="S22" s="1"/>
      <c r="T22" s="1">
        <v>10</v>
      </c>
      <c r="U22" s="1"/>
      <c r="V22" s="1"/>
      <c r="W22" s="1"/>
      <c r="X22" s="1"/>
      <c r="Y22" s="1"/>
      <c r="Z22" s="20"/>
    </row>
    <row r="23" spans="1:26" s="10" customFormat="1" ht="18" customHeight="1" x14ac:dyDescent="0.25">
      <c r="A23" s="1">
        <f>RANK(D23,D$4:D$53,0)</f>
        <v>20</v>
      </c>
      <c r="B23" s="40" t="s">
        <v>85</v>
      </c>
      <c r="C23" s="1" t="s">
        <v>83</v>
      </c>
      <c r="D23" s="1">
        <f>SUM(F23:Y23)</f>
        <v>15</v>
      </c>
      <c r="E23" s="20"/>
      <c r="F23" s="1"/>
      <c r="G23" s="1"/>
      <c r="H23" s="1"/>
      <c r="I23" s="1"/>
      <c r="J23" s="1"/>
      <c r="K23" s="1">
        <f>10+5</f>
        <v>15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20"/>
    </row>
    <row r="24" spans="1:26" s="10" customFormat="1" ht="18" customHeight="1" x14ac:dyDescent="0.25">
      <c r="A24" s="1">
        <f>RANK(D24,D$4:D$53,0)</f>
        <v>21</v>
      </c>
      <c r="B24" s="40" t="s">
        <v>82</v>
      </c>
      <c r="C24" s="1" t="s">
        <v>83</v>
      </c>
      <c r="D24" s="1">
        <f>SUM(F24:Y24)</f>
        <v>12</v>
      </c>
      <c r="E24" s="20"/>
      <c r="F24" s="1"/>
      <c r="G24" s="1"/>
      <c r="H24" s="1"/>
      <c r="I24" s="1"/>
      <c r="J24" s="1"/>
      <c r="K24" s="1">
        <f>9+3</f>
        <v>12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20"/>
    </row>
    <row r="25" spans="1:26" s="10" customFormat="1" ht="18" customHeight="1" x14ac:dyDescent="0.25">
      <c r="A25" s="1">
        <f>RANK(D25,D$4:D$53,0)</f>
        <v>22</v>
      </c>
      <c r="B25" s="5" t="s">
        <v>69</v>
      </c>
      <c r="C25" s="1" t="s">
        <v>27</v>
      </c>
      <c r="D25" s="1">
        <f>SUM(F25:Y25)</f>
        <v>10</v>
      </c>
      <c r="E25" s="2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>
        <f>6+4</f>
        <v>10</v>
      </c>
      <c r="R25" s="1"/>
      <c r="S25" s="1"/>
      <c r="T25" s="1"/>
      <c r="U25" s="1"/>
      <c r="V25" s="1"/>
      <c r="W25" s="1"/>
      <c r="X25" s="1"/>
      <c r="Y25" s="1"/>
      <c r="Z25" s="20"/>
    </row>
    <row r="26" spans="1:26" s="10" customFormat="1" ht="18" customHeight="1" x14ac:dyDescent="0.25">
      <c r="A26" s="1">
        <f>RANK(D26,D$4:D$53,0)</f>
        <v>23</v>
      </c>
      <c r="B26" s="34" t="s">
        <v>70</v>
      </c>
      <c r="C26" s="36" t="s">
        <v>27</v>
      </c>
      <c r="D26" s="1">
        <f>SUM(F26:Y26)</f>
        <v>3</v>
      </c>
      <c r="E26" s="2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>
        <f>2+1</f>
        <v>3</v>
      </c>
      <c r="R26" s="1"/>
      <c r="S26" s="1"/>
      <c r="T26" s="1"/>
      <c r="U26" s="1"/>
      <c r="V26" s="1"/>
      <c r="W26" s="1"/>
      <c r="X26" s="1"/>
      <c r="Y26" s="1"/>
      <c r="Z26" s="20"/>
    </row>
    <row r="27" spans="1:26" ht="6.9" customHeight="1" x14ac:dyDescent="0.25">
      <c r="A27" s="26"/>
      <c r="B27" s="27"/>
      <c r="C27" s="21"/>
      <c r="D27" s="28"/>
      <c r="E27" s="21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5"/>
    </row>
    <row r="28" spans="1:26" s="7" customFormat="1" ht="12.75" customHeight="1" x14ac:dyDescent="0.25">
      <c r="A28" s="12"/>
      <c r="B28" s="14"/>
      <c r="C28" s="13"/>
      <c r="D28" s="13"/>
      <c r="E28" s="13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</sheetData>
  <sheetProtection algorithmName="SHA-512" hashValue="RUa/2VcgXr+H5u4qxYEe5A6tZO5lThf/r2Ax/bpPPQTHFWuvVqQ8dbXf3ZfH8UAEtBYEbVymtnO5ctbPd4yTxw==" saltValue="e7qsv18EobnFm8kabhWvYw==" spinCount="100000" sheet="1" objects="1" scenarios="1" selectLockedCells="1" selectUnlockedCells="1"/>
  <protectedRanges>
    <protectedRange sqref="U1" name="Intervalo1_1_1"/>
    <protectedRange sqref="B14:C14" name="Intervalo1"/>
    <protectedRange sqref="B15:C15" name="Intervalo1_2"/>
    <protectedRange sqref="T3" name="Intervalo1_3"/>
    <protectedRange sqref="T1:T2" name="Intervalo1_1_2"/>
    <protectedRange sqref="S1:S3" name="Intervalo1_5"/>
    <protectedRange sqref="R1:R3" name="Intervalo1_9"/>
    <protectedRange sqref="B21" name="Intervalo1_1"/>
    <protectedRange sqref="B22:C22" name="Intervalo1_4"/>
    <protectedRange sqref="O1" name="Intervalo1_6"/>
    <protectedRange sqref="L3:M3" name="Intervalo1_9_1"/>
    <protectedRange sqref="L1:M1" name="Intervalo1_7_1_1"/>
    <protectedRange sqref="B23:C23" name="Intervalo1_7"/>
    <protectedRange sqref="K1:K3" name="Intervalo1_11"/>
    <protectedRange sqref="B24:C26" name="Intervalo1_8"/>
  </protectedRanges>
  <mergeCells count="22">
    <mergeCell ref="F1:F2"/>
    <mergeCell ref="S1:S2"/>
    <mergeCell ref="R1:R2"/>
    <mergeCell ref="J1:J2"/>
    <mergeCell ref="I1:I2"/>
    <mergeCell ref="L1:L2"/>
    <mergeCell ref="K1:K2"/>
    <mergeCell ref="A2:D2"/>
    <mergeCell ref="A1:D1"/>
    <mergeCell ref="Y1:Y2"/>
    <mergeCell ref="X1:X2"/>
    <mergeCell ref="W1:W2"/>
    <mergeCell ref="V1:V2"/>
    <mergeCell ref="O1:O2"/>
    <mergeCell ref="N1:N2"/>
    <mergeCell ref="M1:M2"/>
    <mergeCell ref="U1:U2"/>
    <mergeCell ref="Q1:Q2"/>
    <mergeCell ref="P1:P2"/>
    <mergeCell ref="T1:T2"/>
    <mergeCell ref="H1:H2"/>
    <mergeCell ref="G1:G2"/>
  </mergeCells>
  <conditionalFormatting sqref="B1:B3 B27:B65535">
    <cfRule type="expression" dxfId="16" priority="27" stopIfTrue="1">
      <formula>AND(COUNTIF(#REF!, B1)+COUNTIF($B$1:$B$5, B1)&gt;1,NOT(ISBLANK(B1)))</formula>
    </cfRule>
  </conditionalFormatting>
  <conditionalFormatting sqref="B16:B17 B1:B3 B27:B65535">
    <cfRule type="expression" dxfId="15" priority="23" stopIfTrue="1">
      <formula>AND(COUNTIF($B$1:$B$8, B1)+COUNTIF(#REF!, B1)&gt;1,NOT(ISBLANK(B1)))</formula>
    </cfRule>
  </conditionalFormatting>
  <conditionalFormatting sqref="B1:B13 B27:B65535 B16:B20">
    <cfRule type="expression" dxfId="14" priority="57" stopIfTrue="1">
      <formula>AND(COUNTIF($B$1:$B$13, B1)+COUNTIF($B$16:$B$65535, B1)&gt;1,NOT(ISBLANK(B1)))</formula>
    </cfRule>
  </conditionalFormatting>
  <conditionalFormatting sqref="B16:B20">
    <cfRule type="duplicateValues" dxfId="13" priority="60" stopIfTrue="1"/>
  </conditionalFormatting>
  <conditionalFormatting sqref="AB6">
    <cfRule type="duplicateValues" dxfId="12" priority="61" stopIfTrue="1"/>
    <cfRule type="duplicateValues" dxfId="11" priority="62" stopIfTrue="1"/>
    <cfRule type="duplicateValues" dxfId="10" priority="63" stopIfTrue="1"/>
    <cfRule type="expression" dxfId="9" priority="64" stopIfTrue="1">
      <formula>AND(COUNTIF($B$5:$C$71, AB6)+COUNTIF($B$73:$C$74, AB6)+COUNTIF($B$72:$B$72, AB6)&gt;1,NOT(ISBLANK(AB6)))</formula>
    </cfRule>
    <cfRule type="expression" dxfId="8" priority="65" stopIfTrue="1">
      <formula>AND(COUNTIF(#REF!, AB6)+COUNTIF($B$154:$B$163, AB6)+COUNTIF($B$1:$C$71, AB6)+COUNTIF($B$73:$C$153, AB6)+COUNTIF($B$72:$B$72, AB6)&gt;1,NOT(ISBLANK(AB6)))</formula>
    </cfRule>
    <cfRule type="expression" dxfId="7" priority="66" stopIfTrue="1">
      <formula>AND(COUNTIF(#REF!, AB6)+COUNTIF($B$164:$B$166, AB6)+COUNTIF($B$1:$C$71, AB6)+COUNTIF($B$73:$C$152, AB6)+COUNTIF($B$72:$B$72, AB6)&gt;1,NOT(ISBLANK(AB6)))</formula>
    </cfRule>
    <cfRule type="expression" dxfId="6" priority="67" stopIfTrue="1">
      <formula>AND(COUNTIF(#REF!, AB6)+COUNTIF($B$164:$B$166, AB6)+COUNTIF($B$1:$C$71, AB6)+COUNTIF($B$73:$C$153, AB6)+COUNTIF($B$72:$B$72, AB6)&gt;1,NOT(ISBLANK(AB6)))</formula>
    </cfRule>
    <cfRule type="expression" dxfId="5" priority="68" stopIfTrue="1">
      <formula>AND(COUNTIF($B$5:$C$71, AB6)+COUNTIF($B$73:$C$151, AB6)+COUNTIF($B$72:$B$72, AB6)&gt;1,NOT(ISBLANK(AB6)))</formula>
    </cfRule>
    <cfRule type="duplicateValues" dxfId="4" priority="69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85BD-B0EB-4C28-8DBA-78E94DF1B979}">
  <sheetPr codeName="Planilha3"/>
  <dimension ref="A1:AA26"/>
  <sheetViews>
    <sheetView showGridLines="0" zoomScale="80" zoomScaleNormal="80" workbookViewId="0">
      <selection activeCell="N3" sqref="N3"/>
    </sheetView>
  </sheetViews>
  <sheetFormatPr defaultColWidth="9.109375" defaultRowHeight="13.8" x14ac:dyDescent="0.25"/>
  <cols>
    <col min="1" max="1" width="5.88671875" style="8" bestFit="1" customWidth="1"/>
    <col min="2" max="2" width="65.109375" style="9" customWidth="1"/>
    <col min="3" max="3" width="6.33203125" style="2" customWidth="1"/>
    <col min="4" max="4" width="8.109375" style="2" bestFit="1" customWidth="1"/>
    <col min="5" max="5" width="1" style="2" customWidth="1"/>
    <col min="6" max="23" width="7.44140625" style="11" customWidth="1"/>
    <col min="24" max="24" width="8" style="11" customWidth="1"/>
    <col min="25" max="26" width="6.6640625" style="11" customWidth="1"/>
    <col min="27" max="27" width="1" style="3" customWidth="1"/>
    <col min="28" max="16384" width="9.109375" style="3"/>
  </cols>
  <sheetData>
    <row r="1" spans="1:27" ht="85.5" customHeight="1" x14ac:dyDescent="0.25">
      <c r="A1" s="55"/>
      <c r="B1" s="56"/>
      <c r="C1" s="56"/>
      <c r="D1" s="57"/>
      <c r="E1" s="16"/>
      <c r="F1" s="58" t="s">
        <v>101</v>
      </c>
      <c r="G1" s="70" t="s">
        <v>98</v>
      </c>
      <c r="H1" s="58" t="s">
        <v>96</v>
      </c>
      <c r="I1" s="68" t="s">
        <v>95</v>
      </c>
      <c r="J1" s="70" t="s">
        <v>89</v>
      </c>
      <c r="K1" s="64" t="s">
        <v>86</v>
      </c>
      <c r="L1" s="70" t="s">
        <v>77</v>
      </c>
      <c r="M1" s="64" t="s">
        <v>75</v>
      </c>
      <c r="N1" s="60" t="s">
        <v>74</v>
      </c>
      <c r="O1" s="66" t="s">
        <v>68</v>
      </c>
      <c r="P1" s="60" t="s">
        <v>62</v>
      </c>
      <c r="Q1" s="60" t="s">
        <v>59</v>
      </c>
      <c r="R1" s="60" t="s">
        <v>55</v>
      </c>
      <c r="S1" s="60" t="s">
        <v>54</v>
      </c>
      <c r="T1" s="60" t="s">
        <v>47</v>
      </c>
      <c r="U1" s="68" t="s">
        <v>25</v>
      </c>
      <c r="V1" s="68" t="s">
        <v>21</v>
      </c>
      <c r="W1" s="70" t="s">
        <v>14</v>
      </c>
      <c r="X1" s="60" t="s">
        <v>13</v>
      </c>
      <c r="Y1" s="60" t="s">
        <v>11</v>
      </c>
      <c r="Z1" s="70" t="s">
        <v>8</v>
      </c>
      <c r="AA1" s="16"/>
    </row>
    <row r="2" spans="1:27" s="4" customFormat="1" ht="93.6" customHeight="1" x14ac:dyDescent="0.25">
      <c r="A2" s="52" t="s">
        <v>102</v>
      </c>
      <c r="B2" s="53"/>
      <c r="C2" s="53"/>
      <c r="D2" s="54"/>
      <c r="E2" s="17"/>
      <c r="F2" s="59"/>
      <c r="G2" s="71"/>
      <c r="H2" s="59"/>
      <c r="I2" s="69"/>
      <c r="J2" s="71"/>
      <c r="K2" s="65"/>
      <c r="L2" s="71"/>
      <c r="M2" s="65"/>
      <c r="N2" s="61"/>
      <c r="O2" s="67"/>
      <c r="P2" s="61"/>
      <c r="Q2" s="61"/>
      <c r="R2" s="61"/>
      <c r="S2" s="61"/>
      <c r="T2" s="61"/>
      <c r="U2" s="69"/>
      <c r="V2" s="69"/>
      <c r="W2" s="71"/>
      <c r="X2" s="61"/>
      <c r="Y2" s="61"/>
      <c r="Z2" s="71"/>
      <c r="AA2" s="22"/>
    </row>
    <row r="3" spans="1:27" ht="18" customHeight="1" x14ac:dyDescent="0.25">
      <c r="A3" s="15" t="s">
        <v>0</v>
      </c>
      <c r="B3" s="15" t="s">
        <v>1</v>
      </c>
      <c r="C3" s="15" t="s">
        <v>2</v>
      </c>
      <c r="D3" s="15" t="s">
        <v>7</v>
      </c>
      <c r="E3" s="18"/>
      <c r="F3" s="44">
        <v>46250</v>
      </c>
      <c r="G3" s="49">
        <v>46243</v>
      </c>
      <c r="H3" s="44">
        <v>46240</v>
      </c>
      <c r="I3" s="44">
        <v>46236</v>
      </c>
      <c r="J3" s="38">
        <v>46212</v>
      </c>
      <c r="K3" s="37">
        <v>46208</v>
      </c>
      <c r="L3" s="38">
        <v>46193</v>
      </c>
      <c r="M3" s="37">
        <v>46187</v>
      </c>
      <c r="N3" s="44">
        <v>46187</v>
      </c>
      <c r="O3" s="51">
        <v>46173</v>
      </c>
      <c r="P3" s="38">
        <v>46166</v>
      </c>
      <c r="Q3" s="37">
        <v>46145</v>
      </c>
      <c r="R3" s="38">
        <v>46143</v>
      </c>
      <c r="S3" s="38">
        <v>46138</v>
      </c>
      <c r="T3" s="38">
        <v>46131</v>
      </c>
      <c r="U3" s="37">
        <v>46123</v>
      </c>
      <c r="V3" s="37">
        <v>46122</v>
      </c>
      <c r="W3" s="38">
        <v>46103</v>
      </c>
      <c r="X3" s="38">
        <v>46089</v>
      </c>
      <c r="Y3" s="38">
        <v>46068</v>
      </c>
      <c r="Z3" s="38">
        <v>46068</v>
      </c>
      <c r="AA3" s="23"/>
    </row>
    <row r="4" spans="1:27" s="10" customFormat="1" ht="18" customHeight="1" x14ac:dyDescent="0.25">
      <c r="A4" s="1">
        <f>RANK(D4,D$4:D$50,0)</f>
        <v>1</v>
      </c>
      <c r="B4" s="5" t="s">
        <v>9</v>
      </c>
      <c r="C4" s="1" t="s">
        <v>16</v>
      </c>
      <c r="D4" s="1">
        <f>SUM(F4:Z4)</f>
        <v>1894</v>
      </c>
      <c r="E4" s="20"/>
      <c r="F4" s="1">
        <f>45+33+25</f>
        <v>103</v>
      </c>
      <c r="G4" s="1">
        <f>60+55+50+45</f>
        <v>210</v>
      </c>
      <c r="H4" s="1">
        <f>80+75+65+60</f>
        <v>280</v>
      </c>
      <c r="I4" s="1"/>
      <c r="J4" s="1">
        <f>75+70+50+45</f>
        <v>240</v>
      </c>
      <c r="K4" s="1">
        <f>55+40+25</f>
        <v>120</v>
      </c>
      <c r="L4" s="1">
        <v>50</v>
      </c>
      <c r="M4" s="1"/>
      <c r="N4" s="1">
        <f>70+45+35+15</f>
        <v>165</v>
      </c>
      <c r="O4" s="1"/>
      <c r="P4" s="1"/>
      <c r="Q4" s="1">
        <f>40+9</f>
        <v>49</v>
      </c>
      <c r="R4" s="1">
        <f>80+75+65+55</f>
        <v>275</v>
      </c>
      <c r="S4" s="1">
        <f>10+9</f>
        <v>19</v>
      </c>
      <c r="T4" s="1">
        <f>37+31+20+15</f>
        <v>103</v>
      </c>
      <c r="U4" s="1">
        <f>45+25+22+20</f>
        <v>112</v>
      </c>
      <c r="V4" s="1">
        <v>40</v>
      </c>
      <c r="W4" s="1"/>
      <c r="X4" s="1">
        <f>9+7+6+5</f>
        <v>27</v>
      </c>
      <c r="Y4" s="1"/>
      <c r="Z4" s="1">
        <f>35+31+20+15</f>
        <v>101</v>
      </c>
      <c r="AA4" s="24"/>
    </row>
    <row r="5" spans="1:27" s="10" customFormat="1" ht="18" customHeight="1" x14ac:dyDescent="0.25">
      <c r="A5" s="1">
        <f>RANK(D5,D$4:D$50,0)</f>
        <v>2</v>
      </c>
      <c r="B5" s="5" t="s">
        <v>5</v>
      </c>
      <c r="C5" s="1" t="s">
        <v>17</v>
      </c>
      <c r="D5" s="1">
        <f>SUM(F5:Z5)</f>
        <v>1410</v>
      </c>
      <c r="E5" s="20"/>
      <c r="F5" s="1">
        <f>55+50+40+30</f>
        <v>175</v>
      </c>
      <c r="G5" s="1"/>
      <c r="H5" s="1"/>
      <c r="I5" s="1"/>
      <c r="J5" s="1"/>
      <c r="K5" s="1"/>
      <c r="L5" s="1">
        <f>80+70+65+55</f>
        <v>270</v>
      </c>
      <c r="M5" s="1"/>
      <c r="N5" s="1">
        <f>80+60+55+7</f>
        <v>202</v>
      </c>
      <c r="O5" s="1"/>
      <c r="P5" s="1">
        <v>3</v>
      </c>
      <c r="Q5" s="1">
        <f>60+55+50+35</f>
        <v>200</v>
      </c>
      <c r="R5" s="1"/>
      <c r="S5" s="1"/>
      <c r="T5" s="1">
        <f>60+55+45+40</f>
        <v>200</v>
      </c>
      <c r="U5" s="1">
        <f>180+23+12+10</f>
        <v>225</v>
      </c>
      <c r="V5" s="1">
        <f>70+60+5</f>
        <v>135</v>
      </c>
      <c r="W5" s="1"/>
      <c r="X5" s="1"/>
      <c r="Y5" s="1"/>
      <c r="Z5" s="1"/>
      <c r="AA5" s="24"/>
    </row>
    <row r="6" spans="1:27" s="10" customFormat="1" ht="18" customHeight="1" x14ac:dyDescent="0.25">
      <c r="A6" s="1">
        <f>RANK(D6,D$4:D$50,0)</f>
        <v>3</v>
      </c>
      <c r="B6" s="5" t="s">
        <v>12</v>
      </c>
      <c r="C6" s="1" t="s">
        <v>17</v>
      </c>
      <c r="D6" s="1">
        <f>SUM(F6:Z6)</f>
        <v>868</v>
      </c>
      <c r="E6" s="20"/>
      <c r="F6" s="1">
        <f>60+35</f>
        <v>95</v>
      </c>
      <c r="G6" s="1"/>
      <c r="H6" s="1"/>
      <c r="I6" s="1">
        <f>40+20+17</f>
        <v>77</v>
      </c>
      <c r="J6" s="1"/>
      <c r="K6" s="1"/>
      <c r="L6" s="1">
        <v>40</v>
      </c>
      <c r="M6" s="1"/>
      <c r="N6" s="1">
        <f>75+40+20</f>
        <v>135</v>
      </c>
      <c r="O6" s="1"/>
      <c r="P6" s="1"/>
      <c r="Q6" s="1">
        <f>33+15+7</f>
        <v>55</v>
      </c>
      <c r="R6" s="1"/>
      <c r="S6" s="1"/>
      <c r="T6" s="1"/>
      <c r="U6" s="1">
        <f>150+16+11</f>
        <v>177</v>
      </c>
      <c r="V6" s="1">
        <f>110+25</f>
        <v>135</v>
      </c>
      <c r="W6" s="1">
        <v>60</v>
      </c>
      <c r="X6" s="1"/>
      <c r="Y6" s="1">
        <f>20+35+30+9</f>
        <v>94</v>
      </c>
      <c r="Z6" s="1"/>
      <c r="AA6" s="24"/>
    </row>
    <row r="7" spans="1:27" s="10" customFormat="1" ht="18" customHeight="1" x14ac:dyDescent="0.25">
      <c r="A7" s="1">
        <f>RANK(D7,D$4:D$50,0)</f>
        <v>4</v>
      </c>
      <c r="B7" s="5" t="s">
        <v>51</v>
      </c>
      <c r="C7" s="1" t="s">
        <v>16</v>
      </c>
      <c r="D7" s="1">
        <f>SUM(F7:Z7)</f>
        <v>462</v>
      </c>
      <c r="E7" s="2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>
        <f>70+9</f>
        <v>79</v>
      </c>
      <c r="S7" s="1"/>
      <c r="T7" s="1"/>
      <c r="U7" s="1">
        <f>65+55</f>
        <v>120</v>
      </c>
      <c r="V7" s="1">
        <f>90+45</f>
        <v>135</v>
      </c>
      <c r="W7" s="1"/>
      <c r="X7" s="1"/>
      <c r="Y7" s="1"/>
      <c r="Z7" s="1">
        <f>55+40+33</f>
        <v>128</v>
      </c>
      <c r="AA7" s="24"/>
    </row>
    <row r="8" spans="1:27" s="10" customFormat="1" ht="18" customHeight="1" x14ac:dyDescent="0.25">
      <c r="A8" s="1">
        <f>RANK(D8,D$4:D$50,0)</f>
        <v>5</v>
      </c>
      <c r="B8" s="39" t="s">
        <v>10</v>
      </c>
      <c r="C8" s="1" t="s">
        <v>18</v>
      </c>
      <c r="D8" s="1">
        <f>SUM(F8:Z8)</f>
        <v>362</v>
      </c>
      <c r="E8" s="19"/>
      <c r="F8" s="6"/>
      <c r="G8" s="6">
        <f>35+37+40</f>
        <v>112</v>
      </c>
      <c r="H8" s="6">
        <f>70+55+50+35</f>
        <v>210</v>
      </c>
      <c r="I8" s="6"/>
      <c r="J8" s="6"/>
      <c r="K8" s="6"/>
      <c r="L8" s="6"/>
      <c r="M8" s="6"/>
      <c r="N8" s="6"/>
      <c r="O8" s="1"/>
      <c r="P8" s="6"/>
      <c r="Q8" s="6"/>
      <c r="R8" s="6"/>
      <c r="S8" s="6"/>
      <c r="T8" s="6"/>
      <c r="U8" s="6">
        <v>5</v>
      </c>
      <c r="V8" s="6"/>
      <c r="W8" s="1"/>
      <c r="X8" s="1"/>
      <c r="Y8" s="6"/>
      <c r="Z8" s="1">
        <f>25+10</f>
        <v>35</v>
      </c>
      <c r="AA8" s="24"/>
    </row>
    <row r="9" spans="1:27" s="10" customFormat="1" ht="18" customHeight="1" x14ac:dyDescent="0.25">
      <c r="A9" s="1">
        <f>RANK(D9,D$4:D$50,0)</f>
        <v>6</v>
      </c>
      <c r="B9" s="5" t="s">
        <v>4</v>
      </c>
      <c r="C9" s="1" t="s">
        <v>17</v>
      </c>
      <c r="D9" s="1">
        <f>SUM(F9:Z9)</f>
        <v>338</v>
      </c>
      <c r="E9" s="20"/>
      <c r="F9" s="1"/>
      <c r="G9" s="1"/>
      <c r="H9" s="1"/>
      <c r="I9" s="1"/>
      <c r="J9" s="1"/>
      <c r="K9" s="1"/>
      <c r="L9" s="1">
        <f>75+60</f>
        <v>135</v>
      </c>
      <c r="M9" s="1"/>
      <c r="N9" s="1">
        <f>25+8</f>
        <v>33</v>
      </c>
      <c r="O9" s="1"/>
      <c r="P9" s="1"/>
      <c r="Q9" s="1">
        <f>45+25</f>
        <v>70</v>
      </c>
      <c r="R9" s="1"/>
      <c r="S9" s="1"/>
      <c r="T9" s="1"/>
      <c r="U9" s="1">
        <v>14</v>
      </c>
      <c r="V9" s="1">
        <f>30+20</f>
        <v>50</v>
      </c>
      <c r="W9" s="1"/>
      <c r="X9" s="1"/>
      <c r="Y9" s="1">
        <f>25+11</f>
        <v>36</v>
      </c>
      <c r="Z9" s="1"/>
      <c r="AA9" s="24"/>
    </row>
    <row r="10" spans="1:27" s="10" customFormat="1" ht="18" customHeight="1" x14ac:dyDescent="0.25">
      <c r="A10" s="1">
        <f>RANK(D10,D$4:D$50,0)</f>
        <v>7</v>
      </c>
      <c r="B10" s="39" t="s">
        <v>6</v>
      </c>
      <c r="C10" s="1" t="s">
        <v>17</v>
      </c>
      <c r="D10" s="1">
        <f>SUM(F10:Z10)</f>
        <v>225</v>
      </c>
      <c r="E10" s="20"/>
      <c r="F10" s="1">
        <f>37+10</f>
        <v>47</v>
      </c>
      <c r="G10" s="1"/>
      <c r="H10" s="1"/>
      <c r="I10" s="1"/>
      <c r="J10" s="1"/>
      <c r="K10" s="1"/>
      <c r="L10" s="1">
        <f>35+25</f>
        <v>60</v>
      </c>
      <c r="M10" s="1"/>
      <c r="N10" s="1">
        <f>5+4</f>
        <v>9</v>
      </c>
      <c r="O10" s="1"/>
      <c r="P10" s="1"/>
      <c r="Q10" s="1">
        <f>10+4</f>
        <v>14</v>
      </c>
      <c r="R10" s="1"/>
      <c r="S10" s="1"/>
      <c r="T10" s="1"/>
      <c r="U10" s="1"/>
      <c r="V10" s="1"/>
      <c r="W10" s="1">
        <f>45+37</f>
        <v>82</v>
      </c>
      <c r="X10" s="1"/>
      <c r="Y10" s="1">
        <v>13</v>
      </c>
      <c r="Z10" s="1"/>
      <c r="AA10" s="24"/>
    </row>
    <row r="11" spans="1:27" s="10" customFormat="1" ht="18" customHeight="1" x14ac:dyDescent="0.25">
      <c r="A11" s="1">
        <f>RANK(D11,D$4:D$50,0)</f>
        <v>8</v>
      </c>
      <c r="B11" s="5" t="s">
        <v>3</v>
      </c>
      <c r="C11" s="1" t="s">
        <v>16</v>
      </c>
      <c r="D11" s="1">
        <f>SUM(F11:Z11)</f>
        <v>200.5</v>
      </c>
      <c r="E11" s="20"/>
      <c r="F11" s="1"/>
      <c r="G11" s="1"/>
      <c r="H11" s="1"/>
      <c r="I11" s="1"/>
      <c r="J11" s="1"/>
      <c r="K11" s="1"/>
      <c r="L11" s="1"/>
      <c r="M11" s="1">
        <f>4.5+4</f>
        <v>8.5</v>
      </c>
      <c r="N11" s="1"/>
      <c r="O11" s="1"/>
      <c r="P11" s="1"/>
      <c r="Q11" s="1"/>
      <c r="R11" s="1">
        <f>60+45</f>
        <v>105</v>
      </c>
      <c r="S11" s="1"/>
      <c r="T11" s="1">
        <f>50+10+7+4</f>
        <v>71</v>
      </c>
      <c r="U11" s="1"/>
      <c r="V11" s="1"/>
      <c r="W11" s="1"/>
      <c r="X11" s="1">
        <f>10+1</f>
        <v>11</v>
      </c>
      <c r="Y11" s="1"/>
      <c r="Z11" s="1">
        <v>5</v>
      </c>
      <c r="AA11" s="24"/>
    </row>
    <row r="12" spans="1:27" s="10" customFormat="1" ht="18" customHeight="1" x14ac:dyDescent="0.25">
      <c r="A12" s="1">
        <f>RANK(D12,D$4:D$50,0)</f>
        <v>9</v>
      </c>
      <c r="B12" s="39" t="s">
        <v>87</v>
      </c>
      <c r="C12" s="1" t="s">
        <v>23</v>
      </c>
      <c r="D12" s="1">
        <f>SUM(F12:Z12)</f>
        <v>133</v>
      </c>
      <c r="E12" s="20"/>
      <c r="F12" s="1"/>
      <c r="G12" s="1"/>
      <c r="H12" s="1"/>
      <c r="I12" s="1"/>
      <c r="J12" s="1"/>
      <c r="K12" s="1">
        <f>45+35+33+20</f>
        <v>133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24"/>
    </row>
    <row r="13" spans="1:27" s="10" customFormat="1" ht="18" customHeight="1" x14ac:dyDescent="0.25">
      <c r="A13" s="1">
        <f>RANK(D13,D$4:D$50,0)</f>
        <v>10</v>
      </c>
      <c r="B13" s="39" t="s">
        <v>71</v>
      </c>
      <c r="C13" s="1" t="s">
        <v>27</v>
      </c>
      <c r="D13" s="1">
        <f>SUM(F13:Z13)</f>
        <v>83</v>
      </c>
      <c r="E13" s="20"/>
      <c r="F13" s="1"/>
      <c r="G13" s="1"/>
      <c r="H13" s="1"/>
      <c r="I13" s="1"/>
      <c r="J13" s="1"/>
      <c r="K13" s="1"/>
      <c r="L13" s="1"/>
      <c r="M13" s="1"/>
      <c r="N13" s="1">
        <v>65</v>
      </c>
      <c r="O13" s="1">
        <f>10+8</f>
        <v>18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24"/>
    </row>
    <row r="14" spans="1:27" s="10" customFormat="1" ht="18" customHeight="1" x14ac:dyDescent="0.25">
      <c r="A14" s="1">
        <f>RANK(D14,D$4:D$50,0)</f>
        <v>11</v>
      </c>
      <c r="B14" s="39" t="s">
        <v>88</v>
      </c>
      <c r="C14" s="1" t="s">
        <v>23</v>
      </c>
      <c r="D14" s="1">
        <f>SUM(F14:Z14)</f>
        <v>80</v>
      </c>
      <c r="E14" s="20"/>
      <c r="F14" s="1"/>
      <c r="G14" s="1"/>
      <c r="H14" s="1"/>
      <c r="I14" s="1"/>
      <c r="J14" s="1"/>
      <c r="K14" s="1">
        <f>50+30</f>
        <v>80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24"/>
    </row>
    <row r="15" spans="1:27" s="10" customFormat="1" ht="18" customHeight="1" x14ac:dyDescent="0.25">
      <c r="A15" s="1">
        <f>RANK(D15,D$4:D$50,0)</f>
        <v>12</v>
      </c>
      <c r="B15" s="39" t="s">
        <v>58</v>
      </c>
      <c r="C15" s="1" t="s">
        <v>16</v>
      </c>
      <c r="D15" s="1">
        <f>SUM(F15:Z15)</f>
        <v>75</v>
      </c>
      <c r="E15" s="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>
        <f>35+25+15</f>
        <v>75</v>
      </c>
      <c r="S15" s="1"/>
      <c r="T15" s="1"/>
      <c r="U15" s="1"/>
      <c r="V15" s="1"/>
      <c r="W15" s="1"/>
      <c r="X15" s="1"/>
      <c r="Y15" s="1"/>
      <c r="Z15" s="1"/>
      <c r="AA15" s="24"/>
    </row>
    <row r="16" spans="1:27" s="10" customFormat="1" ht="18" customHeight="1" x14ac:dyDescent="0.25">
      <c r="A16" s="1">
        <f>RANK(D16,D$4:D$50,0)</f>
        <v>13</v>
      </c>
      <c r="B16" s="39" t="s">
        <v>26</v>
      </c>
      <c r="C16" s="1" t="s">
        <v>27</v>
      </c>
      <c r="D16" s="1">
        <f>SUM(F16:Z16)</f>
        <v>72</v>
      </c>
      <c r="E16" s="20"/>
      <c r="F16" s="1"/>
      <c r="G16" s="1"/>
      <c r="H16" s="1"/>
      <c r="I16" s="1"/>
      <c r="J16" s="1"/>
      <c r="K16" s="1"/>
      <c r="L16" s="1"/>
      <c r="M16" s="1"/>
      <c r="N16" s="1">
        <v>50</v>
      </c>
      <c r="O16" s="1">
        <v>9</v>
      </c>
      <c r="P16" s="1"/>
      <c r="Q16" s="1"/>
      <c r="R16" s="1"/>
      <c r="S16" s="1"/>
      <c r="T16" s="1"/>
      <c r="U16" s="1">
        <v>13</v>
      </c>
      <c r="V16" s="1"/>
      <c r="W16" s="1"/>
      <c r="X16" s="1"/>
      <c r="Y16" s="1"/>
      <c r="Z16" s="1"/>
      <c r="AA16" s="24"/>
    </row>
    <row r="17" spans="1:27" s="10" customFormat="1" ht="18" customHeight="1" x14ac:dyDescent="0.25">
      <c r="A17" s="1">
        <f>RANK(D17,D$4:D$50,0)</f>
        <v>14</v>
      </c>
      <c r="B17" s="5" t="s">
        <v>15</v>
      </c>
      <c r="C17" s="1" t="s">
        <v>16</v>
      </c>
      <c r="D17" s="1">
        <f>SUM(F17:Z17)</f>
        <v>62</v>
      </c>
      <c r="E17" s="2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>
        <f>60+2</f>
        <v>62</v>
      </c>
      <c r="AA17" s="24"/>
    </row>
    <row r="18" spans="1:27" s="10" customFormat="1" ht="18" customHeight="1" x14ac:dyDescent="0.25">
      <c r="A18" s="1">
        <f>RANK(D18,D$4:D$50,0)</f>
        <v>15</v>
      </c>
      <c r="B18" s="5" t="s">
        <v>19</v>
      </c>
      <c r="C18" s="1" t="s">
        <v>16</v>
      </c>
      <c r="D18" s="1">
        <f>SUM(F18:Z18)</f>
        <v>44</v>
      </c>
      <c r="E18" s="2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>
        <f>37+7</f>
        <v>44</v>
      </c>
      <c r="AA18" s="24"/>
    </row>
    <row r="19" spans="1:27" s="10" customFormat="1" ht="18" customHeight="1" x14ac:dyDescent="0.25">
      <c r="A19" s="1">
        <f>RANK(D19,D$4:D$50,0)</f>
        <v>16</v>
      </c>
      <c r="B19" s="5" t="s">
        <v>22</v>
      </c>
      <c r="C19" s="1" t="s">
        <v>23</v>
      </c>
      <c r="D19" s="1">
        <f>SUM(F19:Z19)</f>
        <v>17</v>
      </c>
      <c r="E19" s="2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>
        <v>7</v>
      </c>
      <c r="V19" s="1">
        <v>10</v>
      </c>
      <c r="W19" s="1"/>
      <c r="X19" s="1"/>
      <c r="Y19" s="1"/>
      <c r="Z19" s="1"/>
      <c r="AA19" s="24"/>
    </row>
    <row r="20" spans="1:27" s="10" customFormat="1" ht="18" customHeight="1" x14ac:dyDescent="0.25">
      <c r="A20" s="1">
        <f>RANK(D20,D$4:D$50,0)</f>
        <v>17</v>
      </c>
      <c r="B20" s="39" t="s">
        <v>57</v>
      </c>
      <c r="C20" s="1" t="s">
        <v>27</v>
      </c>
      <c r="D20" s="1">
        <f>SUM(F20:Z20)</f>
        <v>16</v>
      </c>
      <c r="E20" s="20"/>
      <c r="F20" s="1"/>
      <c r="G20" s="1"/>
      <c r="H20" s="1"/>
      <c r="I20" s="1"/>
      <c r="J20" s="1"/>
      <c r="K20" s="1"/>
      <c r="L20" s="1"/>
      <c r="M20" s="1"/>
      <c r="N20" s="1">
        <f>10+1</f>
        <v>11</v>
      </c>
      <c r="O20" s="1">
        <v>5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24"/>
    </row>
    <row r="21" spans="1:27" s="10" customFormat="1" ht="18" customHeight="1" x14ac:dyDescent="0.25">
      <c r="A21" s="1">
        <f>RANK(D21,D$4:D$50,0)</f>
        <v>18</v>
      </c>
      <c r="B21" s="39" t="s">
        <v>72</v>
      </c>
      <c r="C21" s="1" t="s">
        <v>27</v>
      </c>
      <c r="D21" s="1">
        <f>SUM(F21:Z21)</f>
        <v>15</v>
      </c>
      <c r="E21" s="20"/>
      <c r="F21" s="1"/>
      <c r="G21" s="1"/>
      <c r="H21" s="1"/>
      <c r="I21" s="1"/>
      <c r="J21" s="1"/>
      <c r="K21" s="1"/>
      <c r="L21" s="1"/>
      <c r="M21" s="1"/>
      <c r="N21" s="1">
        <v>6</v>
      </c>
      <c r="O21" s="1">
        <f>2+7</f>
        <v>9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24"/>
    </row>
    <row r="22" spans="1:27" s="10" customFormat="1" ht="18" customHeight="1" x14ac:dyDescent="0.25">
      <c r="A22" s="1">
        <f>RANK(D22,D$4:D$50,0)</f>
        <v>19</v>
      </c>
      <c r="B22" s="39" t="s">
        <v>24</v>
      </c>
      <c r="C22" s="1" t="s">
        <v>27</v>
      </c>
      <c r="D22" s="1">
        <f>SUM(F22:Z22)</f>
        <v>7</v>
      </c>
      <c r="E22" s="2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>
        <v>7</v>
      </c>
      <c r="W22" s="1"/>
      <c r="X22" s="1"/>
      <c r="Y22" s="1"/>
      <c r="Z22" s="1"/>
      <c r="AA22" s="24"/>
    </row>
    <row r="23" spans="1:27" s="10" customFormat="1" ht="18" customHeight="1" x14ac:dyDescent="0.25">
      <c r="A23" s="1">
        <f>RANK(D23,D$4:D$50,0)</f>
        <v>20</v>
      </c>
      <c r="B23" s="39" t="s">
        <v>20</v>
      </c>
      <c r="C23" s="1" t="s">
        <v>16</v>
      </c>
      <c r="D23" s="1">
        <f>SUM(F23:Z23)</f>
        <v>2</v>
      </c>
      <c r="E23" s="2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>
        <v>2</v>
      </c>
      <c r="Y23" s="1"/>
      <c r="Z23" s="1"/>
      <c r="AA23" s="24"/>
    </row>
    <row r="24" spans="1:27" s="10" customFormat="1" ht="18" customHeight="1" x14ac:dyDescent="0.25">
      <c r="A24" s="1">
        <f>RANK(D24,D$4:D$50,0)</f>
        <v>21</v>
      </c>
      <c r="B24" s="39" t="s">
        <v>28</v>
      </c>
      <c r="C24" s="1" t="s">
        <v>27</v>
      </c>
      <c r="D24" s="1">
        <f>SUM(F24:Z24)</f>
        <v>1</v>
      </c>
      <c r="E24" s="2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>
        <v>1</v>
      </c>
      <c r="V24" s="1"/>
      <c r="W24" s="1"/>
      <c r="X24" s="1"/>
      <c r="Y24" s="1"/>
      <c r="Z24" s="1"/>
      <c r="AA24" s="24"/>
    </row>
    <row r="25" spans="1:27" ht="6.9" customHeight="1" x14ac:dyDescent="0.25">
      <c r="A25" s="26"/>
      <c r="B25" s="27"/>
      <c r="C25" s="21"/>
      <c r="D25" s="28"/>
      <c r="E25" s="21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5"/>
    </row>
    <row r="26" spans="1:27" s="7" customFormat="1" ht="12.75" customHeight="1" x14ac:dyDescent="0.25">
      <c r="A26" s="12"/>
      <c r="B26" s="14"/>
      <c r="C26" s="13"/>
      <c r="D26" s="13"/>
      <c r="E26" s="13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</sheetData>
  <sheetProtection algorithmName="SHA-512" hashValue="sjUVw6Yv3PhCWBU+ujtRQVcU6B2jPpPdMrg1Wk4KB5pWFcEyhOhAlzRt8kXKaC2VOfDAjnDf3vkD5Lr5vasrLg==" saltValue="auAOgvo1A6iui0oD40hloQ==" spinCount="100000" sheet="1" objects="1" scenarios="1" selectLockedCells="1" selectUnlockedCells="1"/>
  <protectedRanges>
    <protectedRange sqref="T1" name="Intervalo1_1_1"/>
    <protectedRange sqref="S3" name="Intervalo1_1_2"/>
    <protectedRange sqref="S1:S2" name="Intervalo1_1_1_1"/>
    <protectedRange sqref="R3" name="Intervalo1"/>
    <protectedRange sqref="R1:R2" name="Intervalo1_1"/>
    <protectedRange sqref="Q1:Q3" name="Intervalo1_5"/>
    <protectedRange sqref="P1:P3" name="Intervalo1_2"/>
    <protectedRange sqref="B22:C22" name="Intervalo1_3"/>
    <protectedRange sqref="N1" name="Intervalo1_6"/>
    <protectedRange sqref="M1 M3" name="Intervalo1_2_1"/>
    <protectedRange sqref="K1:K3" name="Intervalo1_13_1"/>
    <protectedRange sqref="B23:C23" name="Intervalo1_10"/>
    <protectedRange sqref="B24:C24" name="Intervalo1_10_1"/>
  </protectedRanges>
  <mergeCells count="23">
    <mergeCell ref="F1:F2"/>
    <mergeCell ref="T1:T2"/>
    <mergeCell ref="O1:O2"/>
    <mergeCell ref="Q1:Q2"/>
    <mergeCell ref="J1:J2"/>
    <mergeCell ref="P1:P2"/>
    <mergeCell ref="S1:S2"/>
    <mergeCell ref="R1:R2"/>
    <mergeCell ref="Z1:Z2"/>
    <mergeCell ref="A2:D2"/>
    <mergeCell ref="A1:D1"/>
    <mergeCell ref="Y1:Y2"/>
    <mergeCell ref="X1:X2"/>
    <mergeCell ref="N1:N2"/>
    <mergeCell ref="M1:M2"/>
    <mergeCell ref="L1:L2"/>
    <mergeCell ref="K1:K2"/>
    <mergeCell ref="W1:W2"/>
    <mergeCell ref="V1:V2"/>
    <mergeCell ref="U1:U2"/>
    <mergeCell ref="I1:I2"/>
    <mergeCell ref="H1:H2"/>
    <mergeCell ref="G1:G2"/>
  </mergeCells>
  <conditionalFormatting sqref="B12:B13 B15">
    <cfRule type="expression" dxfId="3" priority="70" stopIfTrue="1">
      <formula>AND(COUNTIF($B$12:$B$13, B12)+COUNTIF(#REF!, B12)+COUNTIF($B$15:$B$15, B12)&gt;1,NOT(ISBLANK(B12)))</formula>
    </cfRule>
  </conditionalFormatting>
  <conditionalFormatting sqref="B25:B65533 B1:B21">
    <cfRule type="duplicateValues" dxfId="2" priority="72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EC20B-56A2-4915-9239-A97519EB4168}">
  <sheetPr codeName="Planilha4"/>
  <dimension ref="A1:O8"/>
  <sheetViews>
    <sheetView showGridLines="0" zoomScale="90" zoomScaleNormal="90" workbookViewId="0">
      <selection activeCell="I10" sqref="I10"/>
    </sheetView>
  </sheetViews>
  <sheetFormatPr defaultColWidth="9.109375" defaultRowHeight="13.8" x14ac:dyDescent="0.25"/>
  <cols>
    <col min="1" max="1" width="5.6640625" style="8" bestFit="1" customWidth="1"/>
    <col min="2" max="2" width="57.6640625" style="9" customWidth="1"/>
    <col min="3" max="3" width="8" style="2" customWidth="1"/>
    <col min="4" max="4" width="8.44140625" style="2" customWidth="1"/>
    <col min="5" max="5" width="1" style="2" customWidth="1"/>
    <col min="6" max="9" width="6.6640625" style="11" customWidth="1"/>
    <col min="10" max="10" width="7.44140625" style="11" customWidth="1"/>
    <col min="11" max="11" width="7.33203125" style="11" customWidth="1"/>
    <col min="12" max="14" width="6.6640625" style="11" customWidth="1"/>
    <col min="15" max="15" width="1" style="3" customWidth="1"/>
    <col min="16" max="16384" width="9.109375" style="3"/>
  </cols>
  <sheetData>
    <row r="1" spans="1:15" ht="85.5" customHeight="1" x14ac:dyDescent="0.25">
      <c r="A1" s="55"/>
      <c r="B1" s="56"/>
      <c r="C1" s="56"/>
      <c r="D1" s="57"/>
      <c r="E1" s="16"/>
      <c r="F1" s="58" t="s">
        <v>101</v>
      </c>
      <c r="G1" s="70" t="s">
        <v>77</v>
      </c>
      <c r="H1" s="60" t="s">
        <v>74</v>
      </c>
      <c r="I1" s="66" t="s">
        <v>68</v>
      </c>
      <c r="J1" s="60" t="s">
        <v>59</v>
      </c>
      <c r="K1" s="60" t="s">
        <v>55</v>
      </c>
      <c r="L1" s="60" t="s">
        <v>47</v>
      </c>
      <c r="M1" s="68" t="s">
        <v>25</v>
      </c>
      <c r="N1" s="68" t="s">
        <v>21</v>
      </c>
      <c r="O1" s="16"/>
    </row>
    <row r="2" spans="1:15" s="4" customFormat="1" ht="102.6" customHeight="1" x14ac:dyDescent="0.25">
      <c r="A2" s="52" t="s">
        <v>103</v>
      </c>
      <c r="B2" s="53"/>
      <c r="C2" s="53"/>
      <c r="D2" s="54"/>
      <c r="E2" s="17"/>
      <c r="F2" s="59"/>
      <c r="G2" s="71"/>
      <c r="H2" s="61"/>
      <c r="I2" s="67"/>
      <c r="J2" s="61"/>
      <c r="K2" s="61"/>
      <c r="L2" s="61"/>
      <c r="M2" s="69"/>
      <c r="N2" s="69"/>
      <c r="O2" s="22"/>
    </row>
    <row r="3" spans="1:15" ht="18" customHeight="1" x14ac:dyDescent="0.25">
      <c r="A3" s="15" t="s">
        <v>0</v>
      </c>
      <c r="B3" s="15" t="s">
        <v>1</v>
      </c>
      <c r="C3" s="15" t="s">
        <v>2</v>
      </c>
      <c r="D3" s="15" t="s">
        <v>7</v>
      </c>
      <c r="E3" s="18"/>
      <c r="F3" s="44">
        <v>46250</v>
      </c>
      <c r="G3" s="38">
        <v>46193</v>
      </c>
      <c r="H3" s="44">
        <v>46186</v>
      </c>
      <c r="I3" s="51">
        <v>46173</v>
      </c>
      <c r="J3" s="37">
        <v>46145</v>
      </c>
      <c r="K3" s="38">
        <v>46143</v>
      </c>
      <c r="L3" s="38">
        <v>46131</v>
      </c>
      <c r="M3" s="37">
        <v>46123</v>
      </c>
      <c r="N3" s="37">
        <v>46122</v>
      </c>
      <c r="O3" s="23"/>
    </row>
    <row r="4" spans="1:15" s="10" customFormat="1" ht="18" customHeight="1" x14ac:dyDescent="0.25">
      <c r="A4" s="1">
        <f>RANK(D4,D$4:D$48,0)</f>
        <v>1</v>
      </c>
      <c r="B4" s="5" t="s">
        <v>5</v>
      </c>
      <c r="C4" s="1" t="s">
        <v>17</v>
      </c>
      <c r="D4" s="1">
        <f>SUM(F4:N4)</f>
        <v>685.5</v>
      </c>
      <c r="E4" s="19"/>
      <c r="F4" s="6">
        <f>50+45</f>
        <v>95</v>
      </c>
      <c r="G4" s="6">
        <f>75+70</f>
        <v>145</v>
      </c>
      <c r="H4" s="6">
        <f>60+45</f>
        <v>105</v>
      </c>
      <c r="I4" s="6"/>
      <c r="J4" s="6">
        <f>55+50+31</f>
        <v>136</v>
      </c>
      <c r="K4" s="6"/>
      <c r="L4" s="6">
        <f>30+25+22.5</f>
        <v>77.5</v>
      </c>
      <c r="M4" s="6">
        <f>45+29</f>
        <v>74</v>
      </c>
      <c r="N4" s="6">
        <f>45+8</f>
        <v>53</v>
      </c>
      <c r="O4" s="20"/>
    </row>
    <row r="5" spans="1:15" s="10" customFormat="1" ht="18" customHeight="1" x14ac:dyDescent="0.25">
      <c r="A5" s="1">
        <f>RANK(D5,D$4:D$48,0)</f>
        <v>2</v>
      </c>
      <c r="B5" s="39" t="s">
        <v>29</v>
      </c>
      <c r="C5" s="1" t="s">
        <v>16</v>
      </c>
      <c r="D5" s="1">
        <f>SUM(F5:N5)</f>
        <v>215</v>
      </c>
      <c r="E5" s="20"/>
      <c r="F5" s="1"/>
      <c r="G5" s="1"/>
      <c r="H5" s="1"/>
      <c r="I5" s="1"/>
      <c r="J5" s="1"/>
      <c r="K5" s="1">
        <v>40</v>
      </c>
      <c r="L5" s="1"/>
      <c r="M5" s="1">
        <v>80</v>
      </c>
      <c r="N5" s="1">
        <f>60+35</f>
        <v>95</v>
      </c>
      <c r="O5" s="20"/>
    </row>
    <row r="6" spans="1:15" s="10" customFormat="1" ht="18" customHeight="1" x14ac:dyDescent="0.25">
      <c r="A6" s="1">
        <f>RANK(D6,D$4:D$48,0)</f>
        <v>3</v>
      </c>
      <c r="B6" s="33" t="s">
        <v>24</v>
      </c>
      <c r="C6" s="1" t="s">
        <v>27</v>
      </c>
      <c r="D6" s="1">
        <f>SUM(F6:N6)</f>
        <v>8.5</v>
      </c>
      <c r="E6" s="19"/>
      <c r="F6" s="6"/>
      <c r="G6" s="6"/>
      <c r="H6" s="6"/>
      <c r="I6" s="6">
        <f>4.5+4</f>
        <v>8.5</v>
      </c>
      <c r="J6" s="6"/>
      <c r="K6" s="6"/>
      <c r="L6" s="6"/>
      <c r="M6" s="6"/>
      <c r="N6" s="6"/>
      <c r="O6" s="20"/>
    </row>
    <row r="7" spans="1:15" ht="6.9" customHeight="1" x14ac:dyDescent="0.25">
      <c r="A7" s="26"/>
      <c r="B7" s="27"/>
      <c r="C7" s="21"/>
      <c r="D7" s="28"/>
      <c r="E7" s="21"/>
      <c r="F7" s="29"/>
      <c r="G7" s="29"/>
      <c r="H7" s="29"/>
      <c r="I7" s="29"/>
      <c r="J7" s="29"/>
      <c r="K7" s="29"/>
      <c r="L7" s="29"/>
      <c r="M7" s="29"/>
      <c r="N7" s="29"/>
      <c r="O7" s="25"/>
    </row>
    <row r="8" spans="1:15" s="7" customFormat="1" ht="12.75" customHeight="1" x14ac:dyDescent="0.25">
      <c r="A8" s="12"/>
      <c r="B8" s="14"/>
      <c r="C8" s="13"/>
      <c r="D8" s="13"/>
      <c r="E8" s="13"/>
      <c r="F8" s="11"/>
      <c r="G8" s="11"/>
      <c r="H8" s="11"/>
      <c r="I8" s="11"/>
      <c r="J8" s="11"/>
      <c r="K8" s="11"/>
      <c r="L8" s="11"/>
      <c r="M8" s="11"/>
      <c r="N8" s="11"/>
    </row>
  </sheetData>
  <sheetProtection algorithmName="SHA-512" hashValue="dnUNLQejcN7U23lb8iIk5wwhi0tHE6Vr8j4gFpwG3G148vQWglKqxlSxtBxG6/yc2jMsgjWVV8Y6qI8nLtWqkw==" saltValue="10aMMfczCLBnDpVs3FI1DQ==" spinCount="100000" sheet="1" objects="1" scenarios="1" selectLockedCells="1" selectUnlockedCells="1"/>
  <protectedRanges>
    <protectedRange sqref="L1" name="Intervalo1_1_1"/>
    <protectedRange sqref="K3" name="Intervalo1"/>
    <protectedRange sqref="K1:K2" name="Intervalo1_1"/>
    <protectedRange sqref="J1:J3" name="Intervalo1_5"/>
    <protectedRange sqref="H1" name="Intervalo1_6"/>
  </protectedRanges>
  <mergeCells count="11">
    <mergeCell ref="N1:N2"/>
    <mergeCell ref="L1:L2"/>
    <mergeCell ref="K1:K2"/>
    <mergeCell ref="J1:J2"/>
    <mergeCell ref="I1:I2"/>
    <mergeCell ref="G1:G2"/>
    <mergeCell ref="A2:D2"/>
    <mergeCell ref="A1:D1"/>
    <mergeCell ref="M1:M2"/>
    <mergeCell ref="H1:H2"/>
    <mergeCell ref="F1:F2"/>
  </mergeCells>
  <conditionalFormatting sqref="B1:B1048576">
    <cfRule type="duplicateValues" dxfId="1" priority="1" stopIfTrue="1"/>
  </conditionalFormatting>
  <conditionalFormatting sqref="B6">
    <cfRule type="duplicateValues" dxfId="0" priority="76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MEL-S23</vt:lpstr>
      <vt:lpstr>FEL-F23</vt:lpstr>
      <vt:lpstr>MJR</vt:lpstr>
      <vt:lpstr>FJR</vt:lpstr>
    </vt:vector>
  </TitlesOfParts>
  <Manager/>
  <Company>C.B.C.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Hudson</dc:creator>
  <cp:keywords/>
  <dc:description/>
  <cp:lastModifiedBy>Erika Fortunato</cp:lastModifiedBy>
  <cp:revision/>
  <cp:lastPrinted>2026-04-19T22:13:20Z</cp:lastPrinted>
  <dcterms:created xsi:type="dcterms:W3CDTF">2004-03-27T01:47:07Z</dcterms:created>
  <dcterms:modified xsi:type="dcterms:W3CDTF">2026-08-29T01:37:55Z</dcterms:modified>
  <cp:category/>
  <cp:contentStatus/>
</cp:coreProperties>
</file>